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8" firstSheet="3" activeTab="15"/>
  </bookViews>
  <sheets>
    <sheet name="Grig1" sheetId="1" r:id="rId1"/>
    <sheet name="OБПР" sheetId="2" r:id="rId2"/>
    <sheet name="Posled1" sheetId="3" r:id="rId3"/>
    <sheet name="Posled2" sheetId="4" r:id="rId4"/>
    <sheet name="Комментарии" sheetId="5" state="hidden" r:id="rId5"/>
    <sheet name="на 10 тыс главы" sheetId="6" state="hidden" r:id="rId6"/>
    <sheet name="На 10 тыс" sheetId="7" r:id="rId7"/>
    <sheet name="В блокнот" sheetId="8" r:id="rId8"/>
    <sheet name="НаселГлавы" sheetId="9" r:id="rId9"/>
    <sheet name="Население" sheetId="10" r:id="rId10"/>
    <sheet name="ГРАФИКИ" sheetId="11" r:id="rId11"/>
    <sheet name="ВНИИПО" sheetId="12" r:id="rId12"/>
    <sheet name="2009-2010" sheetId="13" r:id="rId13"/>
    <sheet name="обмен с регионами" sheetId="14" r:id="rId14"/>
    <sheet name="Grig2" sheetId="15" r:id="rId15"/>
    <sheet name="На 100 тыс" sheetId="16" r:id="rId16"/>
  </sheets>
  <definedNames>
    <definedName name="_xlnm.Database">'Население'!$A$1:$B$27</definedName>
    <definedName name="_xlnm.Print_Area_1">'Grig1'!$A$1:$P$58</definedName>
    <definedName name="_xlnm.Print_Area_11">'ГРАФИКИ'!$A$1:$M$145</definedName>
    <definedName name="_xlnm.Print_Area_2">'OБПР'!$A$1:$P$38</definedName>
    <definedName name="_xlnm.Print_Area" localSheetId="0">'Grig1'!$A$1:$P$58</definedName>
    <definedName name="_xlnm.Print_Area" localSheetId="1">'OБПР'!$A$1:$P$38</definedName>
    <definedName name="_xlnm.Print_Area" localSheetId="10">'ГРАФИКИ'!$A$1:$M$145</definedName>
  </definedNames>
  <calcPr fullCalcOnLoad="1"/>
</workbook>
</file>

<file path=xl/sharedStrings.xml><?xml version="1.0" encoding="utf-8"?>
<sst xmlns="http://schemas.openxmlformats.org/spreadsheetml/2006/main" count="1171" uniqueCount="515">
  <si>
    <t xml:space="preserve">                        </t>
  </si>
  <si>
    <r>
      <t xml:space="preserve"> </t>
    </r>
    <r>
      <rPr>
        <b/>
        <sz val="14"/>
        <rFont val="Arial Cyr"/>
        <family val="2"/>
      </rPr>
      <t>Сведения по пожарам в Чувашской Республике с 00ч.00мин. 01.01.2012г. по 00ч.00мин. 20.12.2012г.</t>
    </r>
  </si>
  <si>
    <t>Наименование района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</si>
  <si>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</si>
  <si>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</si>
  <si>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</si>
  <si>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</si>
  <si>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</si>
  <si>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</si>
  <si>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</si>
  <si>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г.Чебоксары</t>
  </si>
  <si>
    <t>Ленинский</t>
  </si>
  <si>
    <t>Московский</t>
  </si>
  <si>
    <t>Калининский</t>
  </si>
  <si>
    <t>Алатырский</t>
  </si>
  <si>
    <t>г.Алатырь</t>
  </si>
  <si>
    <t>п.Киря</t>
  </si>
  <si>
    <t>Аликовский</t>
  </si>
  <si>
    <t>с.Аликово</t>
  </si>
  <si>
    <t>Батыревский</t>
  </si>
  <si>
    <t>c.Батырево</t>
  </si>
  <si>
    <t>Вурнарский</t>
  </si>
  <si>
    <t>п.Вурнары</t>
  </si>
  <si>
    <t>Ибресинский</t>
  </si>
  <si>
    <t>п.Ибреси</t>
  </si>
  <si>
    <t>п.Буинск</t>
  </si>
  <si>
    <t>Канашский</t>
  </si>
  <si>
    <t>г.Канаш</t>
  </si>
  <si>
    <t>Козловский</t>
  </si>
  <si>
    <t>г.Козловка</t>
  </si>
  <si>
    <t>Комсомольский</t>
  </si>
  <si>
    <t>с.Комсомольское</t>
  </si>
  <si>
    <t>Красноармейский</t>
  </si>
  <si>
    <t>с.Красноармейское</t>
  </si>
  <si>
    <t>Красночетайский</t>
  </si>
  <si>
    <t>с.Красные-Четаи</t>
  </si>
  <si>
    <t>Марпосадский</t>
  </si>
  <si>
    <t>г.Марпосад</t>
  </si>
  <si>
    <t>Моргаушский</t>
  </si>
  <si>
    <t>с.Моргауши</t>
  </si>
  <si>
    <t>с.Б-Сундырь</t>
  </si>
  <si>
    <t>г.Новочебоксарск</t>
  </si>
  <si>
    <t>Порецкий</t>
  </si>
  <si>
    <t>с.Порецкое</t>
  </si>
  <si>
    <t>Урмарский</t>
  </si>
  <si>
    <t>п.Урмары</t>
  </si>
  <si>
    <t>Цивильский</t>
  </si>
  <si>
    <t>г.Цивильск</t>
  </si>
  <si>
    <t>Чебоксарский</t>
  </si>
  <si>
    <t>п.Кугеси</t>
  </si>
  <si>
    <t>Шемуршинский</t>
  </si>
  <si>
    <t>с.Шемурша</t>
  </si>
  <si>
    <t>Шумерлинский</t>
  </si>
  <si>
    <t>г.Шумерля</t>
  </si>
  <si>
    <t>Ядринский</t>
  </si>
  <si>
    <t>г.Ядрин</t>
  </si>
  <si>
    <t>Яльчикский</t>
  </si>
  <si>
    <t>с.Яльчики</t>
  </si>
  <si>
    <t>Янтиковский</t>
  </si>
  <si>
    <t>с.Янтиково</t>
  </si>
  <si>
    <t>В городах и райцентрах</t>
  </si>
  <si>
    <t>В сельской местности</t>
  </si>
  <si>
    <t>По республике</t>
  </si>
  <si>
    <t xml:space="preserve">                                </t>
  </si>
  <si>
    <t xml:space="preserve">                                                                                                                              </t>
  </si>
  <si>
    <t xml:space="preserve">                       </t>
  </si>
  <si>
    <t>Наименование</t>
  </si>
  <si>
    <t>травмировано людей</t>
  </si>
  <si>
    <t xml:space="preserve">1.Всего пожаров </t>
  </si>
  <si>
    <t xml:space="preserve"> в т.ч. крупных 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</si>
  <si>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</si>
  <si>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</si>
  <si>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</si>
  <si>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</si>
  <si>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в т.ч. садовый дом, дача</t>
  </si>
  <si>
    <t>Животноводческие здания и сооружения</t>
  </si>
  <si>
    <t>Звероводческие здания и сооружения</t>
  </si>
  <si>
    <t>Птицеводческие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</si>
  <si>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</si>
  <si>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</si>
  <si>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</si>
  <si>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</si>
  <si>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</si>
  <si>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</si>
  <si>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</si>
  <si>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</si>
  <si>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</si>
  <si>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</si>
  <si>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</si>
  <si>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</si>
  <si>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r>
      <t>Основные причины пожаров:</t>
    </r>
    <r>
      <rPr>
        <sz val="9"/>
        <rFont val="Arial Cyr"/>
        <family val="2"/>
      </rPr>
      <t xml:space="preserve"> Умышленные действия по уничтожению имущества (поджог)</t>
    </r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</si>
  <si>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</si>
  <si>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</si>
  <si>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</si>
  <si>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</si>
  <si>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</si>
  <si>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в т.ч. неосторожность при курении</t>
  </si>
  <si>
    <t>- неосторожное обращение с огнем детей</t>
  </si>
  <si>
    <t>Нарушение пуиэ транспортных средств</t>
  </si>
  <si>
    <t>Другие причины</t>
  </si>
  <si>
    <t>Виновники пож. в нетр. сост.</t>
  </si>
  <si>
    <t>Сведения по пожарам по Чувашской Республике</t>
  </si>
  <si>
    <t>погибло</t>
  </si>
  <si>
    <t>травмировано</t>
  </si>
  <si>
    <t>Ун.строений</t>
  </si>
  <si>
    <t>Ун.техники</t>
  </si>
  <si>
    <t xml:space="preserve">В сельской местности  </t>
  </si>
  <si>
    <t xml:space="preserve">По республике         </t>
  </si>
  <si>
    <t>Ун.кр.скота</t>
  </si>
  <si>
    <t>Ун.мелк.скота</t>
  </si>
  <si>
    <t>Ун.птицы</t>
  </si>
  <si>
    <t>Ун.площади</t>
  </si>
  <si>
    <t xml:space="preserve"> </t>
  </si>
  <si>
    <t>уничт.зерн культур</t>
  </si>
  <si>
    <t>уничт.техн.культур</t>
  </si>
  <si>
    <t>уничт.кормов</t>
  </si>
  <si>
    <t>спасено людей</t>
  </si>
  <si>
    <t>спасено мат.цен.</t>
  </si>
  <si>
    <t>спасено техники</t>
  </si>
  <si>
    <t>спасено кр. скота</t>
  </si>
  <si>
    <t>спасено мелк.  скота</t>
  </si>
  <si>
    <t xml:space="preserve">Расчет </t>
  </si>
  <si>
    <t>с</t>
  </si>
  <si>
    <t>по</t>
  </si>
  <si>
    <t>Аналогично - прошлый год</t>
  </si>
  <si>
    <t>Вкладки "На 10 тыс." и "В блокнот" достоверны только после одновременного расчета предыдущих форм</t>
  </si>
  <si>
    <t>"Grig1", "Grig2", "Posled1", "Posled2"</t>
  </si>
  <si>
    <t>Текущий год</t>
  </si>
  <si>
    <t>D:\BACKUP\FBDBase\2008\DATA.fbd</t>
  </si>
  <si>
    <t>Прошлый год</t>
  </si>
  <si>
    <t>D:\BACKUP\FBDBase\data07.fbd</t>
  </si>
  <si>
    <t>Надпись "в Блокноте"</t>
  </si>
  <si>
    <t>1.10.</t>
  </si>
  <si>
    <t>2008</t>
  </si>
  <si>
    <t>2007</t>
  </si>
  <si>
    <t>погибло детей</t>
  </si>
  <si>
    <t>ОБСТАHОВКА</t>
  </si>
  <si>
    <t>Количество 
пожаров</t>
  </si>
  <si>
    <t>Общий убыток
(руб.)</t>
  </si>
  <si>
    <t>Пожары на 10 тыс.
 населения</t>
  </si>
  <si>
    <t>Средн. ущерб
на 1 пожар(руб.)</t>
  </si>
  <si>
    <t>Ущерб на 1 чел.</t>
  </si>
  <si>
    <t>Погибло людей</t>
  </si>
  <si>
    <t>--</t>
  </si>
  <si>
    <t>Гибель людей на 10 тыс. населения</t>
  </si>
  <si>
    <t xml:space="preserve">OБСТАНОВКА С ПОЖАРАМИ </t>
  </si>
  <si>
    <t xml:space="preserve">РАСПРЕДЕЛЕНИЕ  ПОЖАРОВ </t>
  </si>
  <si>
    <t>В ЧУВАШСКОЙ РЕСПУБЛИКЕ</t>
  </si>
  <si>
    <t xml:space="preserve"> ПО  ПРИЧИНАМ  ВОЗНИКНОВЕНИЯ</t>
  </si>
  <si>
    <t>%%</t>
  </si>
  <si>
    <t>кол-во</t>
  </si>
  <si>
    <t>(+,-)</t>
  </si>
  <si>
    <t>Количество пожаров, в т.ч.:</t>
  </si>
  <si>
    <t>в городах и райцентрах</t>
  </si>
  <si>
    <t>Поджоги</t>
  </si>
  <si>
    <t>в сельской местности</t>
  </si>
  <si>
    <t>НППБ при экспл. и устр. э/оборудования</t>
  </si>
  <si>
    <t>Кол. пожаров на 10 тыс.населения</t>
  </si>
  <si>
    <t>Ущерб всего (млн.руб)</t>
  </si>
  <si>
    <t>Ущерб на 1 пожар ( руб)</t>
  </si>
  <si>
    <t>Ущерб на 1 чел. (руб)</t>
  </si>
  <si>
    <t>В нетрезвом состоянии</t>
  </si>
  <si>
    <t>НППБ при экспл. и неиспр. печей</t>
  </si>
  <si>
    <t>Погибло людей на 10 тыс. населения</t>
  </si>
  <si>
    <t>УНИЧТОЖЕНО ОГНЕМ</t>
  </si>
  <si>
    <t>Детская шалость</t>
  </si>
  <si>
    <t>НППБ при проведении электрогазосварочных работ</t>
  </si>
  <si>
    <t>Газовые приборы</t>
  </si>
  <si>
    <t>Самовозгорание</t>
  </si>
  <si>
    <t>Строений, единиц</t>
  </si>
  <si>
    <t>Неустановленные причины</t>
  </si>
  <si>
    <t>Скота: крупного</t>
  </si>
  <si>
    <t>Грозовые разряды</t>
  </si>
  <si>
    <t>мелкого</t>
  </si>
  <si>
    <t>Взрывы</t>
  </si>
  <si>
    <t>Автотехники, единиц</t>
  </si>
  <si>
    <t>Зерновых культур, тонн</t>
  </si>
  <si>
    <t>РАСПРЕДЕЛЕНИЕ ПОЖАРОВ ПО</t>
  </si>
  <si>
    <t>Кормов,</t>
  </si>
  <si>
    <t>МЕСТАМ ВОЗНИКНОВЕНИЯ</t>
  </si>
  <si>
    <t>технических культур,тонн</t>
  </si>
  <si>
    <t>сравнение</t>
  </si>
  <si>
    <t>СПАСЕНО</t>
  </si>
  <si>
    <t>Объкты промышленности</t>
  </si>
  <si>
    <t>Объкты торговли</t>
  </si>
  <si>
    <t>Сельскозобъекты</t>
  </si>
  <si>
    <t>Объекты с массовым пребыванием людей</t>
  </si>
  <si>
    <t>Людей</t>
  </si>
  <si>
    <t>Лечебные учреждения</t>
  </si>
  <si>
    <t>Техники</t>
  </si>
  <si>
    <t>Культурно-зрелищные учреждения</t>
  </si>
  <si>
    <t>Учебные учреждения</t>
  </si>
  <si>
    <t>Административные учреждения</t>
  </si>
  <si>
    <t>Материальных ценностей, млн.руб.</t>
  </si>
  <si>
    <t>Жилые дома</t>
  </si>
  <si>
    <t>Строящиеся объекты</t>
  </si>
  <si>
    <t>Транспорт</t>
  </si>
  <si>
    <t>пожары на 10 тыс.</t>
  </si>
  <si>
    <t>г. Козловка</t>
  </si>
  <si>
    <t>г. Мариинский Посад</t>
  </si>
  <si>
    <t>г. Цивильск</t>
  </si>
  <si>
    <t>г. Ядрин</t>
  </si>
  <si>
    <t>г. Чебоксары</t>
  </si>
  <si>
    <r>
      <t>§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неосторожное обращение с огнем</t>
    </r>
  </si>
  <si>
    <t>случаев</t>
  </si>
  <si>
    <t>что составляет</t>
  </si>
  <si>
    <t>от общего количества;</t>
  </si>
  <si>
    <r>
      <t>§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нарушение правил устройства и эксплуатации электрооборудования </t>
    </r>
  </si>
  <si>
    <r>
      <t>§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неисправность и несоблюдение ППБ при эксплуатации отопительных печей</t>
    </r>
  </si>
  <si>
    <r>
      <t>§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детская шалость с огнем</t>
    </r>
  </si>
  <si>
    <r>
      <t>§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виновники в нетрезвом состоянии</t>
    </r>
  </si>
  <si>
    <r>
      <t>§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поджоги</t>
    </r>
  </si>
  <si>
    <t>При этом почти все погибшие на пожарах приходятся на жилой сектор, в том числе в жилых домах</t>
  </si>
  <si>
    <t>Неосторожность при курении</t>
  </si>
  <si>
    <t>Нарушение правил устройства и эксплуатации  электрооборудования</t>
  </si>
  <si>
    <t>Неисправность и несоблюдение ППБ при эксплуатации отопительных печей</t>
  </si>
  <si>
    <t>жилом секторе</t>
  </si>
  <si>
    <t xml:space="preserve"> городов и райцентров </t>
  </si>
  <si>
    <t xml:space="preserve"> сельской местности </t>
  </si>
  <si>
    <t xml:space="preserve">На города пришлось </t>
  </si>
  <si>
    <t>общего количества пожаров</t>
  </si>
  <si>
    <t>числа погибших</t>
  </si>
  <si>
    <t>травмированных при пожарах людей</t>
  </si>
  <si>
    <t>материального ущерба</t>
  </si>
  <si>
    <t xml:space="preserve">НПУиЭ печей </t>
  </si>
  <si>
    <t>НПУиЭ электрооборудования</t>
  </si>
  <si>
    <t>Шалость детей</t>
  </si>
  <si>
    <t>Сельскохозяйственные объекты</t>
  </si>
  <si>
    <t>Объекты торговли</t>
  </si>
  <si>
    <t>Производственные здания</t>
  </si>
  <si>
    <t>Жилой сектор</t>
  </si>
  <si>
    <t xml:space="preserve">Дачные кооперативы </t>
  </si>
  <si>
    <t>Неисправности трансп.средств</t>
  </si>
  <si>
    <t>Другие</t>
  </si>
  <si>
    <t>ущерб (млн.руб.)</t>
  </si>
  <si>
    <t>2012 г.</t>
  </si>
  <si>
    <t>2011 г.</t>
  </si>
  <si>
    <t>Количество погибших</t>
  </si>
  <si>
    <t>Количество травмированных</t>
  </si>
  <si>
    <t>Количество спасенных</t>
  </si>
  <si>
    <t>Количество материальных спасенных ценностей, млн. руб.</t>
  </si>
  <si>
    <t>пожары</t>
  </si>
  <si>
    <t>погибшие</t>
  </si>
  <si>
    <t>травмированые</t>
  </si>
  <si>
    <t>пожары в городах</t>
  </si>
  <si>
    <t xml:space="preserve">Количество травмированных на пожарах </t>
  </si>
  <si>
    <t>погибло на 10 тыс.</t>
  </si>
  <si>
    <t>травмировано на 10 тыс.</t>
  </si>
  <si>
    <t>тавмировано на 10 тыс.</t>
  </si>
  <si>
    <t>9 месяцев 2007</t>
  </si>
  <si>
    <t>01.01-31.01.2005</t>
  </si>
  <si>
    <t>01.01-31.01.2006</t>
  </si>
  <si>
    <t>01.01-31.01.2007</t>
  </si>
  <si>
    <t>01.01-31.01.2008</t>
  </si>
  <si>
    <t>01.01-31.01.2009</t>
  </si>
  <si>
    <t>кол-во пожаров</t>
  </si>
  <si>
    <t>гибель люжей</t>
  </si>
  <si>
    <t>ЕЖЕНЕДЕЛЬНЫЕ СВЕДЕНИЯ ПО ПОЖАРАМ И ИХ ПОСЛЕДСТВИЯМ</t>
  </si>
  <si>
    <t>№</t>
  </si>
  <si>
    <t>Наименование показателя, единица измерения</t>
  </si>
  <si>
    <t>Значение показателя</t>
  </si>
  <si>
    <t>Количество пожаров, ед.</t>
  </si>
  <si>
    <t>Число людей погибших на пожарах, чел.</t>
  </si>
  <si>
    <t>В том числе: число детей погибших при пожарах, чел.</t>
  </si>
  <si>
    <t>Число людей травмированных на пожарах, чел.</t>
  </si>
  <si>
    <t>Количество людей спасенных на пожарах, чел.</t>
  </si>
  <si>
    <t>Стоимость материальных ценностей, спасенных на пожарах, тыс.руб.</t>
  </si>
  <si>
    <t>Е.А. Ли</t>
  </si>
  <si>
    <t>(8352)62-60-40</t>
  </si>
  <si>
    <t>Кол-во пожаров, ед</t>
  </si>
  <si>
    <t>Прямой ущерб, руб</t>
  </si>
  <si>
    <t>Кол-во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</si>
  <si>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</si>
  <si>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</si>
  <si>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</si>
  <si>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</si>
  <si>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</si>
  <si>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</si>
  <si>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</si>
  <si>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</si>
  <si>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</si>
  <si>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</si>
  <si>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</si>
  <si>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</si>
  <si>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</si>
  <si>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</si>
  <si>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</si>
  <si>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</si>
  <si>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</si>
  <si>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</si>
  <si>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</si>
  <si>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</si>
  <si>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</si>
  <si>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</si>
  <si>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</si>
  <si>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</si>
  <si>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</si>
  <si>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</si>
  <si>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</si>
  <si>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</si>
  <si>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</si>
  <si>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</si>
  <si>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</si>
  <si>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</si>
  <si>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</si>
  <si>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</si>
  <si>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</si>
  <si>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</si>
  <si>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</si>
  <si>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</si>
  <si>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</si>
  <si>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Чувашская  Республика - Чувашия</t>
  </si>
  <si>
    <t>г. Алатырь</t>
  </si>
  <si>
    <t>г. Канаш</t>
  </si>
  <si>
    <t>г. Шумерля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</si>
  <si>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</si>
  <si>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</si>
  <si>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</si>
  <si>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</si>
  <si>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</si>
  <si>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</si>
  <si>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</si>
  <si>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</si>
  <si>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</si>
  <si>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</si>
  <si>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</si>
  <si>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</si>
  <si>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</si>
  <si>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</si>
  <si>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</si>
  <si>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</si>
  <si>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</si>
  <si>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</si>
  <si>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</si>
  <si>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</si>
  <si>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</si>
  <si>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</si>
  <si>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</si>
  <si>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</si>
  <si>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</si>
  <si>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</si>
  <si>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</si>
  <si>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</si>
  <si>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</si>
  <si>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</si>
  <si>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</si>
  <si>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</si>
  <si>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</si>
  <si>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</si>
  <si>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</si>
  <si>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</si>
  <si>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</si>
  <si>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</si>
  <si>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</si>
  <si>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</si>
  <si>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</si>
  <si>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</si>
  <si>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</si>
  <si>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</si>
  <si>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</si>
  <si>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</si>
  <si>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</si>
  <si>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</si>
  <si>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</si>
  <si>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</si>
  <si>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</si>
  <si>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</si>
  <si>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</si>
  <si>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</si>
  <si>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</si>
  <si>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</si>
  <si>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</si>
  <si>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</si>
  <si>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</si>
  <si>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Начальникам Управлений НД ГУ МЧС России</t>
  </si>
  <si>
    <t>Нижегородской области,</t>
  </si>
  <si>
    <t>(8312) 67 89 90</t>
  </si>
  <si>
    <t>01-nn@sandy.ru</t>
  </si>
  <si>
    <t>Пензенской области,</t>
  </si>
  <si>
    <t>(8412) 64 62 92</t>
  </si>
  <si>
    <t>obryv@penza.net</t>
  </si>
  <si>
    <t>Ульяновской области ,</t>
  </si>
  <si>
    <t>(8422) 31 49 89</t>
  </si>
  <si>
    <t>ugps@mv.ru</t>
  </si>
  <si>
    <t xml:space="preserve">Самарской области </t>
  </si>
  <si>
    <t>(8462) 42 45 53</t>
  </si>
  <si>
    <t>ugps@samara01.ru</t>
  </si>
  <si>
    <t xml:space="preserve">Кировской области , </t>
  </si>
  <si>
    <t>(8332) 64 69 62</t>
  </si>
  <si>
    <t>firekir@kirpoj.kirov.ru</t>
  </si>
  <si>
    <t>Пермской области ,</t>
  </si>
  <si>
    <t>(3422) 12 89 52</t>
  </si>
  <si>
    <t>firedept@ugps.perm.su</t>
  </si>
  <si>
    <t>Саратовской области ,</t>
  </si>
  <si>
    <t>(8452) 27 99 40</t>
  </si>
  <si>
    <t>iao@gumchs.saratov.ru</t>
  </si>
  <si>
    <t>Оренбургской области,</t>
  </si>
  <si>
    <t xml:space="preserve">(3532) 77 25 04 </t>
  </si>
  <si>
    <t>doznanie_oren@mail.ru</t>
  </si>
  <si>
    <t>Республики Татарстан,</t>
  </si>
  <si>
    <t>(8432) 92 56 52</t>
  </si>
  <si>
    <t>ugps_rt@mi.ru</t>
  </si>
  <si>
    <t xml:space="preserve">Республики Удмуртия, </t>
  </si>
  <si>
    <t>(3412) 22 67 90</t>
  </si>
  <si>
    <t>ugps01@udmlinс.ru</t>
  </si>
  <si>
    <t>Республики Башкортостан,</t>
  </si>
  <si>
    <t>(3472) 35 30 48</t>
  </si>
  <si>
    <t>statistika@mchsrb.ru</t>
  </si>
  <si>
    <t xml:space="preserve">Республики Мордовия, </t>
  </si>
  <si>
    <t>(8342) 32 15 33</t>
  </si>
  <si>
    <t>ugps@moris.ru</t>
  </si>
  <si>
    <t>Республики Марий Эл.</t>
  </si>
  <si>
    <t>(8362) 63 02 40</t>
  </si>
  <si>
    <t>ugps@mari-el.ru</t>
  </si>
  <si>
    <t>В Целях обмена информацией прошу Вас сообщить</t>
  </si>
  <si>
    <t>аналогичные сведения о пожарах по Вашему региону</t>
  </si>
  <si>
    <t>электронная почта: apd_ugpn@mail.ru; gu-chr@prvrc.mchs.ru</t>
  </si>
  <si>
    <t>Сведения</t>
  </si>
  <si>
    <t xml:space="preserve"> о пожарах и последствиях от них</t>
  </si>
  <si>
    <t>по Чувашской Республике</t>
  </si>
  <si>
    <t>за 12 месяцев 2011 года.</t>
  </si>
  <si>
    <t>Наименование показателей</t>
  </si>
  <si>
    <t>проценты</t>
  </si>
  <si>
    <t>Прямой ущерб (в руб)</t>
  </si>
  <si>
    <t>Гибель людей</t>
  </si>
  <si>
    <t>В том числе детей</t>
  </si>
  <si>
    <t>Травмировано</t>
  </si>
  <si>
    <t>Последствия от пожаров (уничтожено)</t>
  </si>
  <si>
    <t>строений</t>
  </si>
  <si>
    <t>кр. скота</t>
  </si>
  <si>
    <t>подвижной техники</t>
  </si>
  <si>
    <t>кормов</t>
  </si>
  <si>
    <t>Относительные значения</t>
  </si>
  <si>
    <t>Количество пожаров на 10 тыс. населения</t>
  </si>
  <si>
    <t>средний ущерб на 1 человека (в рублях)</t>
  </si>
  <si>
    <t>средний ущерб на 1 пожар( в рублях)</t>
  </si>
  <si>
    <t>Количество погибших на 10 тыс. населения</t>
  </si>
  <si>
    <t xml:space="preserve"> Население: 1 292 200 человек</t>
  </si>
  <si>
    <t>Заместитель начальника Главного управления</t>
  </si>
  <si>
    <t>МЧС России по Чувашской Республике-</t>
  </si>
  <si>
    <t>начальник управления надзорной деятельности</t>
  </si>
  <si>
    <t xml:space="preserve">полковник внутренней службы         </t>
  </si>
  <si>
    <t>Н.В. Петров</t>
  </si>
  <si>
    <t>Е.П. Алексеев</t>
  </si>
  <si>
    <t>(8352) 23 11 40</t>
  </si>
  <si>
    <t>с 00:00 01.01.2008 г. по 00:00 01.01.2009 г.</t>
  </si>
  <si>
    <t xml:space="preserve">2. Всего на объектах промышленности: </t>
  </si>
  <si>
    <t xml:space="preserve"> легкая промышленность </t>
  </si>
  <si>
    <t xml:space="preserve"> деревообрабатывающая пром. </t>
  </si>
  <si>
    <t xml:space="preserve"> промышленность стройматериал</t>
  </si>
  <si>
    <t xml:space="preserve"> тракторсельхоз промышленност</t>
  </si>
  <si>
    <t xml:space="preserve"> пищевая промышленность </t>
  </si>
  <si>
    <t xml:space="preserve"> прочие объекты промышленност (в т.ч.строит.вагонч.,будки)</t>
  </si>
  <si>
    <t xml:space="preserve">3.Всего на объектах с/произв. </t>
  </si>
  <si>
    <t xml:space="preserve"> животноводческих постр. </t>
  </si>
  <si>
    <t xml:space="preserve"> в местах хранения и обработк</t>
  </si>
  <si>
    <t xml:space="preserve"> прочие(стога,поле,техника..)</t>
  </si>
  <si>
    <t xml:space="preserve">4.Объекты торговли </t>
  </si>
  <si>
    <t xml:space="preserve"> чувашпотребсоюз </t>
  </si>
  <si>
    <t xml:space="preserve"> муниципальные </t>
  </si>
  <si>
    <t xml:space="preserve"> прочие(частн.,кооп. и т.д.) </t>
  </si>
  <si>
    <t>5.На объктах с масс.преб.людей</t>
  </si>
  <si>
    <t xml:space="preserve"> министерство здравохранения </t>
  </si>
  <si>
    <t xml:space="preserve"> министерство культуры </t>
  </si>
  <si>
    <t xml:space="preserve"> министерство образования </t>
  </si>
  <si>
    <t xml:space="preserve"> прочие </t>
  </si>
  <si>
    <t xml:space="preserve">6. Всего в жилых домах: </t>
  </si>
  <si>
    <t xml:space="preserve">7. В жилом секторе </t>
  </si>
  <si>
    <t>8. Основные причины пожаров: -неост. обращение с огн</t>
  </si>
  <si>
    <t xml:space="preserve"> в т.ч. неостор.при курении </t>
  </si>
  <si>
    <t xml:space="preserve"> -детская шалость </t>
  </si>
  <si>
    <t xml:space="preserve"> -наруш. правил устр-ва и э электрооборудования, в т.ч.</t>
  </si>
  <si>
    <t xml:space="preserve"> -наруш. правил при эксплуат электрооборудования </t>
  </si>
  <si>
    <t xml:space="preserve"> несоблюдение правил при эксп электробытовых приборов </t>
  </si>
  <si>
    <t xml:space="preserve"> -неиспр. и несоблюдение при эксплуатации печей </t>
  </si>
  <si>
    <t xml:space="preserve"> в т.ч. неисправность отоп.пе</t>
  </si>
  <si>
    <t xml:space="preserve"> в т.ч. НППБ при экспл. печей</t>
  </si>
  <si>
    <t xml:space="preserve"> -грозовые разряды </t>
  </si>
  <si>
    <t xml:space="preserve"> -поджоги </t>
  </si>
  <si>
    <t xml:space="preserve"> -неустановленные </t>
  </si>
  <si>
    <t xml:space="preserve"> -газовые приборы </t>
  </si>
  <si>
    <t xml:space="preserve"> -электросварочные работы </t>
  </si>
  <si>
    <t xml:space="preserve"> -технологические процессы </t>
  </si>
  <si>
    <t xml:space="preserve"> -взрывы </t>
  </si>
  <si>
    <t xml:space="preserve"> -самовозгорание </t>
  </si>
  <si>
    <t xml:space="preserve"> -огневые работы </t>
  </si>
  <si>
    <t xml:space="preserve"> -прочие </t>
  </si>
  <si>
    <t xml:space="preserve"> виновники пож. в нетр. сост.</t>
  </si>
  <si>
    <t xml:space="preserve">9. Новостройки </t>
  </si>
  <si>
    <t xml:space="preserve">10. Администр.-общественные здания </t>
  </si>
  <si>
    <t xml:space="preserve">11. Прочие </t>
  </si>
  <si>
    <t xml:space="preserve">12. Транспорт </t>
  </si>
  <si>
    <t xml:space="preserve">13. Уничтожено животн.зданий </t>
  </si>
  <si>
    <t xml:space="preserve">14. Здания учебных учреждений </t>
  </si>
  <si>
    <t xml:space="preserve">15. Здания детских учреждений </t>
  </si>
  <si>
    <t xml:space="preserve">16. Здания культурных учреждений </t>
  </si>
  <si>
    <t xml:space="preserve">17. Здания лечебных учреждений </t>
  </si>
  <si>
    <t xml:space="preserve">18. Дачные кооперативы </t>
  </si>
  <si>
    <t xml:space="preserve">19. Жилищные кооперативы </t>
  </si>
  <si>
    <t xml:space="preserve">20. Гаражные кооперативы </t>
  </si>
  <si>
    <t xml:space="preserve">21. Предприятия БОН </t>
  </si>
  <si>
    <t xml:space="preserve">22. Учебные учреждения </t>
  </si>
  <si>
    <t xml:space="preserve">23. Детские учреждения </t>
  </si>
  <si>
    <t xml:space="preserve">24. Культ-зрел учреждения </t>
  </si>
  <si>
    <t xml:space="preserve">25. Леч-проф учреждения </t>
  </si>
  <si>
    <t xml:space="preserve">26. Объекты, охр. ГПС </t>
  </si>
  <si>
    <t xml:space="preserve"> в т.ч. на объектах ВПО </t>
  </si>
  <si>
    <t xml:space="preserve">27. На объектах МВД </t>
  </si>
  <si>
    <t>Пожары на 100 тыс.
 населения</t>
  </si>
  <si>
    <t>Гибель людей на 100 тыс. населения</t>
  </si>
  <si>
    <t>Отнош. гибели к общему кол-ву</t>
  </si>
  <si>
    <t xml:space="preserve">Травмировано людей </t>
  </si>
  <si>
    <t>Травмировано людей на 100 тыс. населения</t>
  </si>
  <si>
    <t>Отнош. травм. К общ.</t>
  </si>
  <si>
    <t>ОТНОШ. ПОЖАРОВ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</si>
</sst>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hh:mm\ dd/mm/yyyy"/>
    <numFmt numFmtId="166" formatCode="0.0%"/>
    <numFmt numFmtId="167" formatCode="d\ mmm;@"/>
    <numFmt numFmtId="168" formatCode="0.0"/>
  </numFmts>
  <fonts count="90">
    <font>
      <sz val="10"/>
      <name val="Arial"/>
      <family val="2"/>
    </font>
    <font>
      <u val="single"/>
      <sz val="10.2"/>
      <color indexed="12"/>
      <name val="Times New Roman Cyr"/>
      <family val="1"/>
    </font>
    <font>
      <sz val="11"/>
      <color indexed="8"/>
      <name val="Calibri"/>
      <family val="2"/>
    </font>
    <font>
      <sz val="12"/>
      <name val="Times New Roman Cyr"/>
      <family val="1"/>
    </font>
    <font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2"/>
      <name val="Tahoma"/>
      <family val="2"/>
    </font>
    <font>
      <i/>
      <sz val="12"/>
      <name val="Arial Cyr"/>
      <family val="2"/>
    </font>
    <font>
      <b/>
      <sz val="12"/>
      <name val="Tahoma"/>
      <family val="2"/>
    </font>
    <font>
      <sz val="9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 Cyr"/>
      <family val="2"/>
    </font>
    <font>
      <b/>
      <sz val="11"/>
      <color indexed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14"/>
      <color indexed="8"/>
      <name val="Impact"/>
      <family val="2"/>
    </font>
    <font>
      <b/>
      <i/>
      <sz val="12"/>
      <color indexed="8"/>
      <name val="Arial Cyr"/>
      <family val="0"/>
    </font>
    <font>
      <b/>
      <i/>
      <sz val="20"/>
      <color indexed="9"/>
      <name val="Times New Roman"/>
      <family val="0"/>
    </font>
    <font>
      <b/>
      <i/>
      <sz val="10"/>
      <color indexed="53"/>
      <name val="Arial Cyr"/>
      <family val="0"/>
    </font>
    <font>
      <b/>
      <sz val="10"/>
      <color indexed="29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16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2"/>
      <color indexed="10"/>
      <name val="Arial Cyr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i/>
      <sz val="10"/>
      <name val="Arial Cyr"/>
      <family val="2"/>
    </font>
    <font>
      <sz val="9"/>
      <name val="Arial Narrow"/>
      <family val="2"/>
    </font>
    <font>
      <sz val="9"/>
      <name val="Times New Roman"/>
      <family val="1"/>
    </font>
    <font>
      <sz val="9"/>
      <name val="Tahoma"/>
      <family val="2"/>
    </font>
    <font>
      <i/>
      <sz val="9"/>
      <name val="Arial Cyr"/>
      <family val="2"/>
    </font>
    <font>
      <b/>
      <sz val="9"/>
      <name val="Times New Roman"/>
      <family val="1"/>
    </font>
    <font>
      <b/>
      <sz val="9"/>
      <name val="Tahoma"/>
      <family val="2"/>
    </font>
    <font>
      <b/>
      <i/>
      <sz val="9"/>
      <name val="Arial Cyr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11.8"/>
      <color indexed="8"/>
      <name val="Times New Roman"/>
      <family val="2"/>
    </font>
    <font>
      <b/>
      <sz val="8"/>
      <color indexed="8"/>
      <name val="Arial Cyr"/>
      <family val="2"/>
    </font>
    <font>
      <sz val="18.25"/>
      <color indexed="8"/>
      <name val="Arial Cyr"/>
      <family val="2"/>
    </font>
    <font>
      <sz val="17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b/>
      <sz val="9.25"/>
      <color indexed="8"/>
      <name val="Arial Cyr"/>
      <family val="2"/>
    </font>
    <font>
      <sz val="9.25"/>
      <color indexed="8"/>
      <name val="Arial Cyr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1.5"/>
      <color indexed="8"/>
      <name val="Arial Cyr"/>
      <family val="2"/>
    </font>
    <font>
      <sz val="10.55"/>
      <color indexed="8"/>
      <name val="Arial Cyr"/>
      <family val="2"/>
    </font>
    <font>
      <sz val="10.75"/>
      <color indexed="8"/>
      <name val="Arial Cyr"/>
      <family val="2"/>
    </font>
    <font>
      <sz val="8.5"/>
      <color indexed="8"/>
      <name val="Arial Cyr"/>
      <family val="2"/>
    </font>
    <font>
      <sz val="15"/>
      <color indexed="8"/>
      <name val="Arial Cyr"/>
      <family val="2"/>
    </font>
    <font>
      <sz val="8.75"/>
      <color indexed="8"/>
      <name val="Arial Cyr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.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2"/>
    </font>
    <font>
      <b/>
      <sz val="9.2"/>
      <color indexed="8"/>
      <name val="Arial Cyr"/>
      <family val="2"/>
    </font>
    <font>
      <sz val="14"/>
      <name val="Times New Roman Cyr"/>
      <family val="1"/>
    </font>
    <font>
      <sz val="13"/>
      <name val="Times New Roman Cyr"/>
      <family val="1"/>
    </font>
    <font>
      <sz val="13"/>
      <color indexed="12"/>
      <name val="Times New Roman Cyr"/>
      <family val="1"/>
    </font>
    <font>
      <b/>
      <sz val="13"/>
      <name val="Times New Roman Cyr"/>
      <family val="1"/>
    </font>
    <font>
      <sz val="10"/>
      <color indexed="6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>
        <color indexed="8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51">
    <xf numFmtId="0" fontId="0" fillId="0" borderId="0" xfId="0" applyAlignment="1">
      <alignment/>
    </xf>
    <xf numFmtId="0" fontId="5" fillId="0" borderId="0" xfId="15" applyFont="1">
      <alignment/>
      <protection/>
    </xf>
    <xf numFmtId="0" fontId="5" fillId="0" borderId="0" xfId="15" applyFont="1" applyFill="1">
      <alignment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7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0" fontId="5" fillId="0" borderId="1" xfId="15" applyFont="1" applyBorder="1" applyAlignment="1">
      <alignment/>
      <protection/>
    </xf>
    <xf numFmtId="0" fontId="5" fillId="0" borderId="2" xfId="15" applyFont="1" applyFill="1" applyBorder="1" applyAlignment="1">
      <alignment horizontal="center"/>
      <protection/>
    </xf>
    <xf numFmtId="0" fontId="5" fillId="0" borderId="3" xfId="15" applyFont="1" applyBorder="1" applyAlignment="1">
      <alignment/>
      <protection/>
    </xf>
    <xf numFmtId="0" fontId="9" fillId="0" borderId="4" xfId="15" applyFont="1" applyBorder="1" applyAlignment="1">
      <alignment horizontal="center"/>
      <protection/>
    </xf>
    <xf numFmtId="0" fontId="10" fillId="0" borderId="5" xfId="15" applyFont="1" applyBorder="1" applyAlignment="1">
      <alignment horizontal="center"/>
      <protection/>
    </xf>
    <xf numFmtId="0" fontId="9" fillId="0" borderId="6" xfId="15" applyFont="1" applyBorder="1" applyAlignment="1">
      <alignment horizontal="center"/>
      <protection/>
    </xf>
    <xf numFmtId="0" fontId="9" fillId="0" borderId="4" xfId="15" applyFont="1" applyFill="1" applyBorder="1" applyAlignment="1">
      <alignment horizontal="center"/>
      <protection/>
    </xf>
    <xf numFmtId="0" fontId="9" fillId="0" borderId="5" xfId="15" applyFont="1" applyFill="1" applyBorder="1" applyAlignment="1">
      <alignment horizontal="center"/>
      <protection/>
    </xf>
    <xf numFmtId="0" fontId="9" fillId="0" borderId="6" xfId="15" applyFont="1" applyFill="1" applyBorder="1" applyAlignment="1">
      <alignment horizontal="center"/>
      <protection/>
    </xf>
    <xf numFmtId="0" fontId="9" fillId="0" borderId="5" xfId="15" applyFont="1" applyBorder="1" applyAlignment="1">
      <alignment horizontal="center"/>
      <protection/>
    </xf>
    <xf numFmtId="0" fontId="5" fillId="0" borderId="7" xfId="15" applyFont="1" applyBorder="1">
      <alignment/>
      <protection/>
    </xf>
    <xf numFmtId="0" fontId="11" fillId="2" borderId="8" xfId="15" applyFont="1" applyFill="1" applyBorder="1">
      <alignment/>
      <protection/>
    </xf>
    <xf numFmtId="0" fontId="5" fillId="2" borderId="9" xfId="15" applyFont="1" applyFill="1" applyBorder="1">
      <alignment/>
      <protection/>
    </xf>
    <xf numFmtId="0" fontId="12" fillId="2" borderId="10" xfId="15" applyFont="1" applyFill="1" applyBorder="1" applyAlignment="1">
      <alignment horizontal="right"/>
      <protection/>
    </xf>
    <xf numFmtId="3" fontId="11" fillId="2" borderId="8" xfId="15" applyNumberFormat="1" applyFont="1" applyFill="1" applyBorder="1">
      <alignment/>
      <protection/>
    </xf>
    <xf numFmtId="3" fontId="5" fillId="2" borderId="9" xfId="15" applyNumberFormat="1" applyFont="1" applyFill="1" applyBorder="1">
      <alignment/>
      <protection/>
    </xf>
    <xf numFmtId="0" fontId="5" fillId="0" borderId="11" xfId="15" applyFont="1" applyBorder="1">
      <alignment/>
      <protection/>
    </xf>
    <xf numFmtId="0" fontId="11" fillId="0" borderId="12" xfId="15" applyFont="1" applyBorder="1">
      <alignment/>
      <protection/>
    </xf>
    <xf numFmtId="0" fontId="11" fillId="0" borderId="13" xfId="15" applyFont="1" applyBorder="1">
      <alignment/>
      <protection/>
    </xf>
    <xf numFmtId="0" fontId="12" fillId="0" borderId="14" xfId="15" applyFont="1" applyBorder="1" applyAlignment="1">
      <alignment horizontal="right"/>
      <protection/>
    </xf>
    <xf numFmtId="0" fontId="12" fillId="0" borderId="14" xfId="15" applyFont="1" applyFill="1" applyBorder="1" applyAlignment="1">
      <alignment horizontal="right"/>
      <protection/>
    </xf>
    <xf numFmtId="0" fontId="5" fillId="0" borderId="15" xfId="15" applyFont="1" applyBorder="1">
      <alignment/>
      <protection/>
    </xf>
    <xf numFmtId="0" fontId="11" fillId="0" borderId="16" xfId="15" applyFont="1" applyBorder="1">
      <alignment/>
      <protection/>
    </xf>
    <xf numFmtId="0" fontId="11" fillId="0" borderId="17" xfId="15" applyFont="1" applyBorder="1">
      <alignment/>
      <protection/>
    </xf>
    <xf numFmtId="0" fontId="12" fillId="0" borderId="18" xfId="15" applyFont="1" applyBorder="1" applyAlignment="1">
      <alignment horizontal="right"/>
      <protection/>
    </xf>
    <xf numFmtId="0" fontId="12" fillId="0" borderId="18" xfId="15" applyFont="1" applyFill="1" applyBorder="1" applyAlignment="1">
      <alignment horizontal="right"/>
      <protection/>
    </xf>
    <xf numFmtId="0" fontId="5" fillId="0" borderId="19" xfId="15" applyFont="1" applyBorder="1">
      <alignment/>
      <protection/>
    </xf>
    <xf numFmtId="0" fontId="11" fillId="0" borderId="4" xfId="15" applyFont="1" applyBorder="1">
      <alignment/>
      <protection/>
    </xf>
    <xf numFmtId="0" fontId="11" fillId="0" borderId="5" xfId="15" applyFont="1" applyBorder="1">
      <alignment/>
      <protection/>
    </xf>
    <xf numFmtId="0" fontId="12" fillId="0" borderId="6" xfId="15" applyFont="1" applyBorder="1" applyAlignment="1">
      <alignment horizontal="right"/>
      <protection/>
    </xf>
    <xf numFmtId="0" fontId="12" fillId="0" borderId="6" xfId="15" applyFont="1" applyFill="1" applyBorder="1" applyAlignment="1">
      <alignment horizontal="right"/>
      <protection/>
    </xf>
    <xf numFmtId="0" fontId="11" fillId="0" borderId="8" xfId="15" applyFont="1" applyBorder="1">
      <alignment/>
      <protection/>
    </xf>
    <xf numFmtId="0" fontId="5" fillId="0" borderId="15" xfId="15" applyFont="1" applyFill="1" applyBorder="1">
      <alignment/>
      <protection/>
    </xf>
    <xf numFmtId="0" fontId="11" fillId="0" borderId="16" xfId="15" applyFont="1" applyFill="1" applyBorder="1">
      <alignment/>
      <protection/>
    </xf>
    <xf numFmtId="0" fontId="11" fillId="0" borderId="17" xfId="15" applyFont="1" applyFill="1" applyBorder="1">
      <alignment/>
      <protection/>
    </xf>
    <xf numFmtId="0" fontId="12" fillId="0" borderId="18" xfId="15" applyNumberFormat="1" applyFont="1" applyBorder="1" applyAlignment="1">
      <alignment horizontal="right"/>
      <protection/>
    </xf>
    <xf numFmtId="0" fontId="11" fillId="0" borderId="20" xfId="15" applyFont="1" applyBorder="1">
      <alignment/>
      <protection/>
    </xf>
    <xf numFmtId="0" fontId="5" fillId="0" borderId="5" xfId="15" applyFont="1" applyBorder="1">
      <alignment/>
      <protection/>
    </xf>
    <xf numFmtId="3" fontId="5" fillId="0" borderId="5" xfId="15" applyNumberFormat="1" applyFont="1" applyBorder="1">
      <alignment/>
      <protection/>
    </xf>
    <xf numFmtId="0" fontId="5" fillId="0" borderId="5" xfId="15" applyFont="1" applyFill="1" applyBorder="1">
      <alignment/>
      <protection/>
    </xf>
    <xf numFmtId="0" fontId="7" fillId="0" borderId="7" xfId="15" applyFont="1" applyBorder="1">
      <alignment/>
      <protection/>
    </xf>
    <xf numFmtId="0" fontId="11" fillId="2" borderId="21" xfId="15" applyFont="1" applyFill="1" applyBorder="1">
      <alignment/>
      <protection/>
    </xf>
    <xf numFmtId="3" fontId="11" fillId="2" borderId="21" xfId="15" applyNumberFormat="1" applyFont="1" applyFill="1" applyBorder="1">
      <alignment/>
      <protection/>
    </xf>
    <xf numFmtId="0" fontId="13" fillId="3" borderId="21" xfId="15" applyFont="1" applyFill="1" applyBorder="1">
      <alignment/>
      <protection/>
    </xf>
    <xf numFmtId="1" fontId="5" fillId="4" borderId="9" xfId="15" applyNumberFormat="1" applyFont="1" applyFill="1" applyBorder="1">
      <alignment/>
      <protection/>
    </xf>
    <xf numFmtId="0" fontId="12" fillId="5" borderId="14" xfId="15" applyFont="1" applyFill="1" applyBorder="1" applyAlignment="1">
      <alignment horizontal="right"/>
      <protection/>
    </xf>
    <xf numFmtId="3" fontId="5" fillId="3" borderId="9" xfId="15" applyNumberFormat="1" applyFont="1" applyFill="1" applyBorder="1">
      <alignment/>
      <protection/>
    </xf>
    <xf numFmtId="3" fontId="5" fillId="4" borderId="9" xfId="15" applyNumberFormat="1" applyFont="1" applyFill="1" applyBorder="1">
      <alignment/>
      <protection/>
    </xf>
    <xf numFmtId="0" fontId="12" fillId="5" borderId="10" xfId="15" applyFont="1" applyFill="1" applyBorder="1" applyAlignment="1">
      <alignment horizontal="right"/>
      <protection/>
    </xf>
    <xf numFmtId="0" fontId="13" fillId="3" borderId="9" xfId="15" applyFont="1" applyFill="1" applyBorder="1">
      <alignment/>
      <protection/>
    </xf>
    <xf numFmtId="0" fontId="5" fillId="4" borderId="9" xfId="15" applyFont="1" applyFill="1" applyBorder="1">
      <alignment/>
      <protection/>
    </xf>
    <xf numFmtId="0" fontId="5" fillId="0" borderId="22" xfId="15" applyFont="1" applyBorder="1" applyAlignment="1">
      <alignment horizontal="center"/>
      <protection/>
    </xf>
    <xf numFmtId="0" fontId="14" fillId="0" borderId="0" xfId="15" applyFont="1" applyAlignment="1">
      <alignment wrapText="1"/>
      <protection/>
    </xf>
    <xf numFmtId="0" fontId="15" fillId="0" borderId="0" xfId="15" applyFont="1">
      <alignment/>
      <protection/>
    </xf>
    <xf numFmtId="0" fontId="14" fillId="0" borderId="0" xfId="15" applyFont="1" applyAlignment="1">
      <alignment horizontal="center" wrapText="1"/>
      <protection/>
    </xf>
    <xf numFmtId="0" fontId="15" fillId="0" borderId="0" xfId="15" applyFont="1" applyAlignment="1">
      <alignment horizontal="center"/>
      <protection/>
    </xf>
    <xf numFmtId="0" fontId="16" fillId="0" borderId="0" xfId="15" applyFont="1" applyAlignment="1">
      <alignment horizontal="center"/>
      <protection/>
    </xf>
    <xf numFmtId="0" fontId="14" fillId="0" borderId="23" xfId="15" applyFont="1" applyBorder="1" applyAlignment="1">
      <alignment horizontal="center" vertical="center" wrapText="1"/>
      <protection/>
    </xf>
    <xf numFmtId="0" fontId="14" fillId="0" borderId="11" xfId="15" applyFont="1" applyBorder="1" applyAlignment="1">
      <alignment horizontal="center" vertical="center" wrapText="1"/>
      <protection/>
    </xf>
    <xf numFmtId="0" fontId="14" fillId="0" borderId="24" xfId="15" applyFont="1" applyBorder="1" applyAlignment="1">
      <alignment horizontal="center" vertical="center" wrapText="1"/>
      <protection/>
    </xf>
    <xf numFmtId="0" fontId="14" fillId="0" borderId="20" xfId="15" applyFont="1" applyBorder="1" applyAlignment="1">
      <alignment horizontal="center" vertical="center" wrapText="1"/>
      <protection/>
    </xf>
    <xf numFmtId="0" fontId="17" fillId="0" borderId="5" xfId="15" applyFont="1" applyBorder="1" applyAlignment="1">
      <alignment horizontal="center" vertical="center" wrapText="1"/>
      <protection/>
    </xf>
    <xf numFmtId="0" fontId="14" fillId="0" borderId="6" xfId="15" applyFont="1" applyBorder="1" applyAlignment="1">
      <alignment horizontal="center" vertical="center" wrapText="1"/>
      <protection/>
    </xf>
    <xf numFmtId="0" fontId="14" fillId="0" borderId="25" xfId="15" applyFont="1" applyBorder="1" applyAlignment="1">
      <alignment horizontal="center" vertical="center" wrapText="1"/>
      <protection/>
    </xf>
    <xf numFmtId="0" fontId="14" fillId="0" borderId="26" xfId="15" applyFont="1" applyBorder="1" applyAlignment="1">
      <alignment horizontal="center" vertical="center" wrapText="1"/>
      <protection/>
    </xf>
    <xf numFmtId="0" fontId="14" fillId="0" borderId="4" xfId="15" applyFont="1" applyBorder="1" applyAlignment="1">
      <alignment horizontal="center" vertical="center" wrapText="1"/>
      <protection/>
    </xf>
    <xf numFmtId="0" fontId="14" fillId="0" borderId="5" xfId="15" applyFont="1" applyBorder="1" applyAlignment="1">
      <alignment horizontal="center" vertical="center" wrapText="1"/>
      <protection/>
    </xf>
    <xf numFmtId="0" fontId="14" fillId="0" borderId="6" xfId="15" applyFont="1" applyFill="1" applyBorder="1" applyAlignment="1">
      <alignment horizontal="center" vertical="center" wrapText="1"/>
      <protection/>
    </xf>
    <xf numFmtId="0" fontId="14" fillId="0" borderId="27" xfId="15" applyFont="1" applyBorder="1" applyAlignment="1">
      <alignment horizontal="center" vertical="center" wrapText="1"/>
      <protection/>
    </xf>
    <xf numFmtId="0" fontId="14" fillId="0" borderId="12" xfId="15" applyFont="1" applyBorder="1" applyAlignment="1">
      <alignment horizontal="center" vertical="center" wrapText="1"/>
      <protection/>
    </xf>
    <xf numFmtId="0" fontId="14" fillId="0" borderId="13" xfId="15" applyFont="1" applyBorder="1" applyAlignment="1">
      <alignment horizontal="center" vertical="center" wrapText="1"/>
      <protection/>
    </xf>
    <xf numFmtId="0" fontId="14" fillId="0" borderId="14" xfId="15" applyFont="1" applyBorder="1" applyAlignment="1">
      <alignment horizontal="center" vertical="center" wrapText="1"/>
      <protection/>
    </xf>
    <xf numFmtId="3" fontId="14" fillId="0" borderId="12" xfId="15" applyNumberFormat="1" applyFont="1" applyBorder="1" applyAlignment="1">
      <alignment horizontal="center" vertical="center" wrapText="1"/>
      <protection/>
    </xf>
    <xf numFmtId="0" fontId="14" fillId="0" borderId="28" xfId="15" applyFont="1" applyBorder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0" fontId="14" fillId="0" borderId="19" xfId="15" applyFont="1" applyBorder="1" applyAlignment="1">
      <alignment horizontal="center" vertical="center" wrapText="1"/>
      <protection/>
    </xf>
    <xf numFmtId="0" fontId="14" fillId="0" borderId="15" xfId="15" applyFont="1" applyBorder="1" applyAlignment="1">
      <alignment horizontal="center" vertical="center" wrapText="1"/>
      <protection/>
    </xf>
    <xf numFmtId="0" fontId="14" fillId="0" borderId="16" xfId="15" applyFont="1" applyBorder="1" applyAlignment="1">
      <alignment horizontal="center" vertical="center" wrapText="1"/>
      <protection/>
    </xf>
    <xf numFmtId="0" fontId="14" fillId="0" borderId="17" xfId="15" applyFont="1" applyBorder="1" applyAlignment="1">
      <alignment horizontal="center" vertical="center" wrapText="1"/>
      <protection/>
    </xf>
    <xf numFmtId="0" fontId="14" fillId="0" borderId="18" xfId="15" applyFont="1" applyBorder="1" applyAlignment="1">
      <alignment horizontal="center" vertical="center" wrapText="1"/>
      <protection/>
    </xf>
    <xf numFmtId="0" fontId="14" fillId="0" borderId="29" xfId="15" applyFont="1" applyBorder="1" applyAlignment="1">
      <alignment horizontal="center" vertical="center" wrapText="1"/>
      <protection/>
    </xf>
    <xf numFmtId="0" fontId="14" fillId="0" borderId="18" xfId="15" applyFont="1" applyFill="1" applyBorder="1" applyAlignment="1">
      <alignment horizontal="center" vertical="center" wrapText="1"/>
      <protection/>
    </xf>
    <xf numFmtId="0" fontId="14" fillId="0" borderId="1" xfId="15" applyFont="1" applyBorder="1" applyAlignment="1">
      <alignment horizontal="center" vertical="center" wrapText="1"/>
      <protection/>
    </xf>
    <xf numFmtId="0" fontId="14" fillId="0" borderId="30" xfId="15" applyFont="1" applyBorder="1" applyAlignment="1">
      <alignment horizontal="center" vertical="center" wrapText="1"/>
      <protection/>
    </xf>
    <xf numFmtId="0" fontId="14" fillId="0" borderId="31" xfId="15" applyFont="1" applyBorder="1" applyAlignment="1">
      <alignment horizontal="center" vertical="center" wrapText="1"/>
      <protection/>
    </xf>
    <xf numFmtId="0" fontId="14" fillId="0" borderId="15" xfId="15" applyFont="1" applyFill="1" applyBorder="1" applyAlignment="1">
      <alignment horizontal="center" vertical="center" wrapText="1"/>
      <protection/>
    </xf>
    <xf numFmtId="0" fontId="14" fillId="0" borderId="16" xfId="15" applyFont="1" applyFill="1" applyBorder="1" applyAlignment="1">
      <alignment horizontal="center" vertical="center" wrapText="1"/>
      <protection/>
    </xf>
    <xf numFmtId="0" fontId="14" fillId="0" borderId="17" xfId="15" applyFont="1" applyFill="1" applyBorder="1" applyAlignment="1">
      <alignment horizontal="center" vertical="center" wrapText="1"/>
      <protection/>
    </xf>
    <xf numFmtId="0" fontId="14" fillId="0" borderId="29" xfId="15" applyFont="1" applyFill="1" applyBorder="1" applyAlignment="1">
      <alignment horizontal="center" vertical="center" wrapText="1"/>
      <protection/>
    </xf>
    <xf numFmtId="0" fontId="15" fillId="0" borderId="0" xfId="15" applyFont="1" applyFill="1">
      <alignment/>
      <protection/>
    </xf>
    <xf numFmtId="0" fontId="14" fillId="0" borderId="32" xfId="15" applyFont="1" applyBorder="1" applyAlignment="1">
      <alignment horizontal="center" vertical="center" wrapText="1"/>
      <protection/>
    </xf>
    <xf numFmtId="0" fontId="14" fillId="0" borderId="33" xfId="15" applyFont="1" applyBorder="1" applyAlignment="1">
      <alignment horizontal="center" vertical="center" wrapText="1"/>
      <protection/>
    </xf>
    <xf numFmtId="0" fontId="14" fillId="0" borderId="32" xfId="15" applyFont="1" applyFill="1" applyBorder="1" applyAlignment="1">
      <alignment horizontal="center" vertical="center" wrapText="1"/>
      <protection/>
    </xf>
    <xf numFmtId="0" fontId="18" fillId="0" borderId="12" xfId="15" applyFont="1" applyBorder="1" applyAlignment="1">
      <alignment horizontal="center" vertical="center" wrapText="1"/>
      <protection/>
    </xf>
    <xf numFmtId="0" fontId="14" fillId="6" borderId="15" xfId="15" applyFont="1" applyFill="1" applyBorder="1" applyAlignment="1">
      <alignment horizontal="center" vertical="center" wrapText="1"/>
      <protection/>
    </xf>
    <xf numFmtId="0" fontId="14" fillId="6" borderId="16" xfId="15" applyFont="1" applyFill="1" applyBorder="1" applyAlignment="1">
      <alignment horizontal="center" vertical="center" wrapText="1"/>
      <protection/>
    </xf>
    <xf numFmtId="0" fontId="14" fillId="6" borderId="17" xfId="15" applyFont="1" applyFill="1" applyBorder="1" applyAlignment="1">
      <alignment horizontal="center" vertical="center" wrapText="1"/>
      <protection/>
    </xf>
    <xf numFmtId="0" fontId="14" fillId="6" borderId="18" xfId="15" applyFont="1" applyFill="1" applyBorder="1" applyAlignment="1">
      <alignment horizontal="center" vertical="center" wrapText="1"/>
      <protection/>
    </xf>
    <xf numFmtId="0" fontId="14" fillId="6" borderId="29" xfId="15" applyFont="1" applyFill="1" applyBorder="1" applyAlignment="1">
      <alignment horizontal="center" vertical="center" wrapText="1"/>
      <protection/>
    </xf>
    <xf numFmtId="0" fontId="15" fillId="6" borderId="0" xfId="15" applyFont="1" applyFill="1">
      <alignment/>
      <protection/>
    </xf>
    <xf numFmtId="49" fontId="14" fillId="6" borderId="16" xfId="15" applyNumberFormat="1" applyFont="1" applyFill="1" applyBorder="1" applyAlignment="1">
      <alignment horizontal="center" vertical="center" wrapText="1"/>
      <protection/>
    </xf>
    <xf numFmtId="0" fontId="15" fillId="0" borderId="16" xfId="15" applyFont="1" applyBorder="1" applyAlignment="1">
      <alignment horizontal="center" vertical="center" wrapText="1"/>
      <protection/>
    </xf>
    <xf numFmtId="0" fontId="15" fillId="0" borderId="17" xfId="15" applyFont="1" applyBorder="1" applyAlignment="1">
      <alignment horizontal="center" vertical="center" wrapText="1"/>
      <protection/>
    </xf>
    <xf numFmtId="0" fontId="15" fillId="0" borderId="34" xfId="15" applyFont="1" applyBorder="1" applyAlignment="1">
      <alignment/>
      <protection/>
    </xf>
    <xf numFmtId="0" fontId="15" fillId="0" borderId="3" xfId="15" applyFont="1" applyBorder="1" applyAlignment="1">
      <alignment/>
      <protection/>
    </xf>
    <xf numFmtId="0" fontId="14" fillId="0" borderId="4" xfId="15" applyFont="1" applyBorder="1" applyAlignment="1">
      <alignment horizontal="center"/>
      <protection/>
    </xf>
    <xf numFmtId="0" fontId="17" fillId="0" borderId="5" xfId="15" applyFont="1" applyBorder="1" applyAlignment="1">
      <alignment horizontal="center"/>
      <protection/>
    </xf>
    <xf numFmtId="0" fontId="15" fillId="0" borderId="6" xfId="15" applyFont="1" applyBorder="1" applyAlignment="1">
      <alignment horizontal="center"/>
      <protection/>
    </xf>
    <xf numFmtId="0" fontId="14" fillId="0" borderId="5" xfId="15" applyFont="1" applyBorder="1" applyAlignment="1">
      <alignment horizontal="center"/>
      <protection/>
    </xf>
    <xf numFmtId="0" fontId="15" fillId="0" borderId="7" xfId="15" applyFont="1" applyBorder="1">
      <alignment/>
      <protection/>
    </xf>
    <xf numFmtId="0" fontId="15" fillId="0" borderId="8" xfId="15" applyFont="1" applyBorder="1">
      <alignment/>
      <protection/>
    </xf>
    <xf numFmtId="0" fontId="15" fillId="0" borderId="9" xfId="15" applyFont="1" applyBorder="1">
      <alignment/>
      <protection/>
    </xf>
    <xf numFmtId="0" fontId="15" fillId="0" borderId="10" xfId="15" applyFont="1" applyBorder="1" applyAlignment="1">
      <alignment horizontal="right"/>
      <protection/>
    </xf>
    <xf numFmtId="0" fontId="15" fillId="0" borderId="11" xfId="15" applyFont="1" applyBorder="1">
      <alignment/>
      <protection/>
    </xf>
    <xf numFmtId="0" fontId="15" fillId="0" borderId="12" xfId="15" applyFont="1" applyBorder="1">
      <alignment/>
      <protection/>
    </xf>
    <xf numFmtId="0" fontId="15" fillId="0" borderId="13" xfId="15" applyFont="1" applyBorder="1">
      <alignment/>
      <protection/>
    </xf>
    <xf numFmtId="0" fontId="15" fillId="0" borderId="14" xfId="15" applyFont="1" applyBorder="1" applyAlignment="1">
      <alignment horizontal="right"/>
      <protection/>
    </xf>
    <xf numFmtId="0" fontId="15" fillId="0" borderId="15" xfId="15" applyFont="1" applyBorder="1">
      <alignment/>
      <protection/>
    </xf>
    <xf numFmtId="0" fontId="15" fillId="0" borderId="16" xfId="15" applyFont="1" applyBorder="1">
      <alignment/>
      <protection/>
    </xf>
    <xf numFmtId="0" fontId="15" fillId="0" borderId="17" xfId="15" applyFont="1" applyBorder="1">
      <alignment/>
      <protection/>
    </xf>
    <xf numFmtId="0" fontId="15" fillId="0" borderId="18" xfId="15" applyFont="1" applyBorder="1" applyAlignment="1">
      <alignment horizontal="right"/>
      <protection/>
    </xf>
    <xf numFmtId="0" fontId="15" fillId="0" borderId="19" xfId="15" applyFont="1" applyBorder="1">
      <alignment/>
      <protection/>
    </xf>
    <xf numFmtId="0" fontId="15" fillId="0" borderId="4" xfId="15" applyFont="1" applyBorder="1">
      <alignment/>
      <protection/>
    </xf>
    <xf numFmtId="0" fontId="15" fillId="0" borderId="5" xfId="15" applyFont="1" applyBorder="1">
      <alignment/>
      <protection/>
    </xf>
    <xf numFmtId="0" fontId="15" fillId="0" borderId="6" xfId="15" applyFont="1" applyBorder="1" applyAlignment="1">
      <alignment horizontal="right"/>
      <protection/>
    </xf>
    <xf numFmtId="0" fontId="16" fillId="0" borderId="7" xfId="15" applyFont="1" applyBorder="1">
      <alignment/>
      <protection/>
    </xf>
    <xf numFmtId="0" fontId="15" fillId="0" borderId="21" xfId="15" applyFont="1" applyBorder="1">
      <alignment/>
      <protection/>
    </xf>
    <xf numFmtId="0" fontId="15" fillId="0" borderId="21" xfId="15" applyFont="1" applyBorder="1" applyAlignment="1">
      <alignment horizontal="right"/>
      <protection/>
    </xf>
    <xf numFmtId="0" fontId="15" fillId="0" borderId="9" xfId="15" applyFont="1" applyBorder="1" applyAlignment="1">
      <alignment horizontal="right"/>
      <protection/>
    </xf>
    <xf numFmtId="0" fontId="15" fillId="0" borderId="8" xfId="15" applyFont="1" applyBorder="1" applyAlignment="1">
      <alignment horizontal="right"/>
      <protection/>
    </xf>
    <xf numFmtId="1" fontId="15" fillId="0" borderId="8" xfId="15" applyNumberFormat="1" applyFont="1" applyBorder="1">
      <alignment/>
      <protection/>
    </xf>
    <xf numFmtId="1" fontId="15" fillId="0" borderId="9" xfId="15" applyNumberFormat="1" applyFont="1" applyBorder="1">
      <alignment/>
      <protection/>
    </xf>
    <xf numFmtId="164" fontId="15" fillId="0" borderId="35" xfId="15" applyNumberFormat="1" applyFont="1" applyBorder="1" applyAlignment="1">
      <alignment horizontal="right"/>
      <protection/>
    </xf>
    <xf numFmtId="164" fontId="15" fillId="0" borderId="10" xfId="15" applyNumberFormat="1" applyFont="1" applyBorder="1" applyAlignment="1">
      <alignment horizontal="right"/>
      <protection/>
    </xf>
    <xf numFmtId="1" fontId="15" fillId="0" borderId="12" xfId="15" applyNumberFormat="1" applyFont="1" applyBorder="1">
      <alignment/>
      <protection/>
    </xf>
    <xf numFmtId="1" fontId="15" fillId="0" borderId="13" xfId="15" applyNumberFormat="1" applyFont="1" applyBorder="1">
      <alignment/>
      <protection/>
    </xf>
    <xf numFmtId="164" fontId="15" fillId="0" borderId="36" xfId="15" applyNumberFormat="1" applyFont="1" applyBorder="1" applyAlignment="1">
      <alignment horizontal="right"/>
      <protection/>
    </xf>
    <xf numFmtId="164" fontId="15" fillId="0" borderId="14" xfId="15" applyNumberFormat="1" applyFont="1" applyBorder="1" applyAlignment="1">
      <alignment horizontal="right"/>
      <protection/>
    </xf>
    <xf numFmtId="1" fontId="15" fillId="0" borderId="16" xfId="15" applyNumberFormat="1" applyFont="1" applyBorder="1">
      <alignment/>
      <protection/>
    </xf>
    <xf numFmtId="1" fontId="15" fillId="0" borderId="17" xfId="15" applyNumberFormat="1" applyFont="1" applyBorder="1">
      <alignment/>
      <protection/>
    </xf>
    <xf numFmtId="164" fontId="15" fillId="0" borderId="37" xfId="15" applyNumberFormat="1" applyFont="1" applyBorder="1" applyAlignment="1">
      <alignment horizontal="right"/>
      <protection/>
    </xf>
    <xf numFmtId="164" fontId="15" fillId="0" borderId="18" xfId="15" applyNumberFormat="1" applyFont="1" applyBorder="1" applyAlignment="1">
      <alignment horizontal="right"/>
      <protection/>
    </xf>
    <xf numFmtId="1" fontId="15" fillId="0" borderId="4" xfId="15" applyNumberFormat="1" applyFont="1" applyBorder="1">
      <alignment/>
      <protection/>
    </xf>
    <xf numFmtId="1" fontId="15" fillId="0" borderId="5" xfId="15" applyNumberFormat="1" applyFont="1" applyBorder="1">
      <alignment/>
      <protection/>
    </xf>
    <xf numFmtId="164" fontId="15" fillId="0" borderId="38" xfId="15" applyNumberFormat="1" applyFont="1" applyBorder="1" applyAlignment="1">
      <alignment horizontal="right"/>
      <protection/>
    </xf>
    <xf numFmtId="164" fontId="15" fillId="0" borderId="6" xfId="15" applyNumberFormat="1" applyFont="1" applyBorder="1" applyAlignment="1">
      <alignment horizontal="right"/>
      <protection/>
    </xf>
    <xf numFmtId="1" fontId="15" fillId="0" borderId="10" xfId="15" applyNumberFormat="1" applyFont="1" applyBorder="1">
      <alignment/>
      <protection/>
    </xf>
    <xf numFmtId="3" fontId="15" fillId="0" borderId="10" xfId="15" applyNumberFormat="1" applyFont="1" applyBorder="1" applyAlignment="1">
      <alignment horizontal="right"/>
      <protection/>
    </xf>
    <xf numFmtId="3" fontId="15" fillId="0" borderId="14" xfId="15" applyNumberFormat="1" applyFont="1" applyBorder="1" applyAlignment="1">
      <alignment horizontal="right"/>
      <protection/>
    </xf>
    <xf numFmtId="3" fontId="15" fillId="0" borderId="18" xfId="15" applyNumberFormat="1" applyFont="1" applyBorder="1" applyAlignment="1">
      <alignment horizontal="right"/>
      <protection/>
    </xf>
    <xf numFmtId="3" fontId="15" fillId="0" borderId="6" xfId="15" applyNumberFormat="1" applyFont="1" applyBorder="1" applyAlignment="1">
      <alignment horizontal="right"/>
      <protection/>
    </xf>
    <xf numFmtId="0" fontId="4" fillId="3" borderId="0" xfId="15" applyFill="1">
      <alignment/>
      <protection/>
    </xf>
    <xf numFmtId="0" fontId="4" fillId="0" borderId="0" xfId="15" applyFill="1">
      <alignment/>
      <protection/>
    </xf>
    <xf numFmtId="0" fontId="20" fillId="2" borderId="39" xfId="15" applyFont="1" applyFill="1" applyBorder="1" applyAlignment="1">
      <alignment horizontal="right"/>
      <protection/>
    </xf>
    <xf numFmtId="165" fontId="20" fillId="2" borderId="40" xfId="15" applyNumberFormat="1" applyFont="1" applyFill="1" applyBorder="1">
      <alignment/>
      <protection/>
    </xf>
    <xf numFmtId="0" fontId="20" fillId="2" borderId="40" xfId="15" applyFont="1" applyFill="1" applyBorder="1" applyAlignment="1">
      <alignment horizontal="center"/>
      <protection/>
    </xf>
    <xf numFmtId="0" fontId="4" fillId="2" borderId="41" xfId="15" applyFont="1" applyFill="1" applyBorder="1">
      <alignment/>
      <protection/>
    </xf>
    <xf numFmtId="0" fontId="4" fillId="2" borderId="0" xfId="15" applyFill="1" applyBorder="1">
      <alignment/>
      <protection/>
    </xf>
    <xf numFmtId="0" fontId="21" fillId="2" borderId="0" xfId="16" applyNumberFormat="1" applyFont="1" applyFill="1" applyBorder="1" applyAlignment="1" applyProtection="1">
      <alignment/>
      <protection/>
    </xf>
    <xf numFmtId="16" fontId="4" fillId="2" borderId="7" xfId="15" applyNumberFormat="1" applyFont="1" applyFill="1" applyBorder="1" applyAlignment="1">
      <alignment horizontal="center"/>
      <protection/>
    </xf>
    <xf numFmtId="0" fontId="4" fillId="2" borderId="7" xfId="15" applyFont="1" applyFill="1" applyBorder="1" applyAlignment="1">
      <alignment horizontal="center"/>
      <protection/>
    </xf>
    <xf numFmtId="0" fontId="22" fillId="0" borderId="42" xfId="15" applyFont="1" applyFill="1" applyBorder="1">
      <alignment/>
      <protection/>
    </xf>
    <xf numFmtId="0" fontId="4" fillId="0" borderId="43" xfId="15" applyFill="1" applyBorder="1">
      <alignment/>
      <protection/>
    </xf>
    <xf numFmtId="0" fontId="28" fillId="0" borderId="0" xfId="15" applyFont="1" applyAlignment="1">
      <alignment vertical="top"/>
      <protection/>
    </xf>
    <xf numFmtId="0" fontId="28" fillId="0" borderId="34" xfId="15" applyFont="1" applyBorder="1" applyAlignment="1">
      <alignment vertical="top"/>
      <protection/>
    </xf>
    <xf numFmtId="0" fontId="28" fillId="0" borderId="44" xfId="15" applyFont="1" applyBorder="1" applyAlignment="1">
      <alignment horizontal="center" vertical="top"/>
      <protection/>
    </xf>
    <xf numFmtId="0" fontId="28" fillId="0" borderId="20" xfId="15" applyFont="1" applyBorder="1" applyAlignment="1">
      <alignment horizontal="center"/>
      <protection/>
    </xf>
    <xf numFmtId="0" fontId="30" fillId="0" borderId="5" xfId="15" applyFont="1" applyBorder="1" applyAlignment="1">
      <alignment horizontal="center"/>
      <protection/>
    </xf>
    <xf numFmtId="0" fontId="28" fillId="0" borderId="6" xfId="15" applyFont="1" applyBorder="1" applyAlignment="1">
      <alignment horizontal="center" vertical="top"/>
      <protection/>
    </xf>
    <xf numFmtId="0" fontId="28" fillId="0" borderId="19" xfId="15" applyFont="1" applyBorder="1" applyAlignment="1">
      <alignment horizontal="center"/>
      <protection/>
    </xf>
    <xf numFmtId="0" fontId="28" fillId="0" borderId="0" xfId="15" applyFont="1" applyAlignment="1">
      <alignment horizontal="center" vertical="top"/>
      <protection/>
    </xf>
    <xf numFmtId="0" fontId="28" fillId="0" borderId="45" xfId="15" applyFont="1" applyBorder="1" applyAlignment="1">
      <alignment vertical="top"/>
      <protection/>
    </xf>
    <xf numFmtId="0" fontId="28" fillId="0" borderId="46" xfId="15" applyFont="1" applyBorder="1" applyAlignment="1">
      <alignment vertical="top"/>
      <protection/>
    </xf>
    <xf numFmtId="0" fontId="28" fillId="0" borderId="47" xfId="15" applyFont="1" applyBorder="1" applyAlignment="1">
      <alignment vertical="top"/>
      <protection/>
    </xf>
    <xf numFmtId="166" fontId="30" fillId="7" borderId="48" xfId="33" applyNumberFormat="1" applyFont="1" applyFill="1" applyBorder="1" applyAlignment="1">
      <alignment horizontal="right" vertical="top" wrapText="1"/>
      <protection/>
    </xf>
    <xf numFmtId="3" fontId="28" fillId="0" borderId="46" xfId="15" applyNumberFormat="1" applyFont="1" applyBorder="1" applyAlignment="1">
      <alignment vertical="top"/>
      <protection/>
    </xf>
    <xf numFmtId="3" fontId="28" fillId="0" borderId="47" xfId="15" applyNumberFormat="1" applyFont="1" applyBorder="1" applyAlignment="1">
      <alignment vertical="top"/>
      <protection/>
    </xf>
    <xf numFmtId="2" fontId="28" fillId="0" borderId="46" xfId="15" applyNumberFormat="1" applyFont="1" applyBorder="1" applyAlignment="1">
      <alignment vertical="top"/>
      <protection/>
    </xf>
    <xf numFmtId="2" fontId="28" fillId="0" borderId="47" xfId="15" applyNumberFormat="1" applyFont="1" applyBorder="1" applyAlignment="1">
      <alignment vertical="top"/>
      <protection/>
    </xf>
    <xf numFmtId="3" fontId="28" fillId="0" borderId="49" xfId="15" applyNumberFormat="1" applyFont="1" applyBorder="1" applyAlignment="1">
      <alignment vertical="top"/>
      <protection/>
    </xf>
    <xf numFmtId="3" fontId="28" fillId="0" borderId="13" xfId="15" applyNumberFormat="1" applyFont="1" applyBorder="1" applyAlignment="1">
      <alignment vertical="top"/>
      <protection/>
    </xf>
    <xf numFmtId="166" fontId="30" fillId="7" borderId="14" xfId="33" applyNumberFormat="1" applyFont="1" applyFill="1" applyBorder="1" applyAlignment="1">
      <alignment horizontal="right" vertical="top" wrapText="1"/>
      <protection/>
    </xf>
    <xf numFmtId="0" fontId="28" fillId="0" borderId="15" xfId="15" applyFont="1" applyBorder="1">
      <alignment/>
      <protection/>
    </xf>
    <xf numFmtId="0" fontId="28" fillId="0" borderId="50" xfId="15" applyFont="1" applyBorder="1" applyAlignment="1">
      <alignment vertical="top"/>
      <protection/>
    </xf>
    <xf numFmtId="0" fontId="28" fillId="0" borderId="51" xfId="15" applyFont="1" applyBorder="1" applyAlignment="1">
      <alignment vertical="top"/>
      <protection/>
    </xf>
    <xf numFmtId="166" fontId="30" fillId="7" borderId="18" xfId="33" applyNumberFormat="1" applyFont="1" applyFill="1" applyBorder="1" applyAlignment="1">
      <alignment horizontal="right" vertical="top" wrapText="1"/>
      <protection/>
    </xf>
    <xf numFmtId="3" fontId="28" fillId="0" borderId="50" xfId="15" applyNumberFormat="1" applyFont="1" applyBorder="1" applyAlignment="1">
      <alignment vertical="top"/>
      <protection/>
    </xf>
    <xf numFmtId="3" fontId="28" fillId="0" borderId="17" xfId="15" applyNumberFormat="1" applyFont="1" applyBorder="1" applyAlignment="1">
      <alignment vertical="top"/>
      <protection/>
    </xf>
    <xf numFmtId="2" fontId="28" fillId="0" borderId="50" xfId="15" applyNumberFormat="1" applyFont="1" applyBorder="1" applyAlignment="1">
      <alignment vertical="top"/>
      <protection/>
    </xf>
    <xf numFmtId="2" fontId="28" fillId="0" borderId="17" xfId="15" applyNumberFormat="1" applyFont="1" applyBorder="1" applyAlignment="1">
      <alignment vertical="top"/>
      <protection/>
    </xf>
    <xf numFmtId="3" fontId="28" fillId="0" borderId="16" xfId="15" applyNumberFormat="1" applyFont="1" applyBorder="1" applyAlignment="1">
      <alignment vertical="top"/>
      <protection/>
    </xf>
    <xf numFmtId="3" fontId="28" fillId="0" borderId="17" xfId="15" applyNumberFormat="1" applyFont="1" applyBorder="1" applyAlignment="1">
      <alignment horizontal="right" vertical="top"/>
      <protection/>
    </xf>
    <xf numFmtId="3" fontId="28" fillId="7" borderId="18" xfId="15" applyNumberFormat="1" applyFont="1" applyFill="1" applyBorder="1" applyAlignment="1">
      <alignment horizontal="right" vertical="top"/>
      <protection/>
    </xf>
    <xf numFmtId="0" fontId="28" fillId="0" borderId="17" xfId="15" applyFont="1" applyBorder="1" applyAlignment="1">
      <alignment vertical="top"/>
      <protection/>
    </xf>
    <xf numFmtId="0" fontId="28" fillId="0" borderId="15" xfId="15" applyFont="1" applyBorder="1" applyAlignment="1">
      <alignment vertical="top"/>
      <protection/>
    </xf>
    <xf numFmtId="3" fontId="28" fillId="0" borderId="16" xfId="15" applyNumberFormat="1" applyFont="1" applyBorder="1" applyAlignment="1">
      <alignment horizontal="right" vertical="top"/>
      <protection/>
    </xf>
    <xf numFmtId="0" fontId="28" fillId="0" borderId="1" xfId="15" applyFont="1" applyBorder="1" applyAlignment="1">
      <alignment vertical="top"/>
      <protection/>
    </xf>
    <xf numFmtId="0" fontId="28" fillId="0" borderId="52" xfId="15" applyFont="1" applyBorder="1" applyAlignment="1">
      <alignment vertical="top"/>
      <protection/>
    </xf>
    <xf numFmtId="0" fontId="28" fillId="0" borderId="31" xfId="15" applyFont="1" applyBorder="1" applyAlignment="1">
      <alignment vertical="top"/>
      <protection/>
    </xf>
    <xf numFmtId="166" fontId="30" fillId="7" borderId="32" xfId="33" applyNumberFormat="1" applyFont="1" applyFill="1" applyBorder="1" applyAlignment="1">
      <alignment horizontal="right" vertical="top" wrapText="1"/>
      <protection/>
    </xf>
    <xf numFmtId="3" fontId="28" fillId="0" borderId="52" xfId="15" applyNumberFormat="1" applyFont="1" applyBorder="1" applyAlignment="1">
      <alignment vertical="top"/>
      <protection/>
    </xf>
    <xf numFmtId="3" fontId="28" fillId="0" borderId="31" xfId="15" applyNumberFormat="1" applyFont="1" applyBorder="1" applyAlignment="1">
      <alignment vertical="top"/>
      <protection/>
    </xf>
    <xf numFmtId="2" fontId="28" fillId="0" borderId="53" xfId="15" applyNumberFormat="1" applyFont="1" applyBorder="1" applyAlignment="1">
      <alignment vertical="top"/>
      <protection/>
    </xf>
    <xf numFmtId="2" fontId="28" fillId="0" borderId="54" xfId="15" applyNumberFormat="1" applyFont="1" applyBorder="1" applyAlignment="1">
      <alignment vertical="top"/>
      <protection/>
    </xf>
    <xf numFmtId="3" fontId="28" fillId="0" borderId="30" xfId="15" applyNumberFormat="1" applyFont="1" applyBorder="1" applyAlignment="1">
      <alignment vertical="top"/>
      <protection/>
    </xf>
    <xf numFmtId="0" fontId="28" fillId="0" borderId="7" xfId="15" applyFont="1" applyBorder="1" applyAlignment="1">
      <alignment vertical="top"/>
      <protection/>
    </xf>
    <xf numFmtId="0" fontId="28" fillId="0" borderId="21" xfId="15" applyFont="1" applyBorder="1" applyAlignment="1">
      <alignment vertical="top"/>
      <protection/>
    </xf>
    <xf numFmtId="0" fontId="28" fillId="0" borderId="9" xfId="15" applyFont="1" applyBorder="1" applyAlignment="1">
      <alignment vertical="top"/>
      <protection/>
    </xf>
    <xf numFmtId="166" fontId="30" fillId="7" borderId="10" xfId="33" applyNumberFormat="1" applyFont="1" applyFill="1" applyBorder="1" applyAlignment="1">
      <alignment horizontal="right" vertical="top" wrapText="1"/>
      <protection/>
    </xf>
    <xf numFmtId="3" fontId="28" fillId="0" borderId="21" xfId="15" applyNumberFormat="1" applyFont="1" applyBorder="1" applyAlignment="1">
      <alignment vertical="top"/>
      <protection/>
    </xf>
    <xf numFmtId="3" fontId="28" fillId="0" borderId="9" xfId="15" applyNumberFormat="1" applyFont="1" applyBorder="1" applyAlignment="1">
      <alignment vertical="top"/>
      <protection/>
    </xf>
    <xf numFmtId="2" fontId="28" fillId="0" borderId="21" xfId="15" applyNumberFormat="1" applyFont="1" applyBorder="1" applyAlignment="1">
      <alignment vertical="top"/>
      <protection/>
    </xf>
    <xf numFmtId="2" fontId="28" fillId="0" borderId="9" xfId="15" applyNumberFormat="1" applyFont="1" applyBorder="1" applyAlignment="1">
      <alignment vertical="top"/>
      <protection/>
    </xf>
    <xf numFmtId="3" fontId="28" fillId="0" borderId="8" xfId="15" applyNumberFormat="1" applyFont="1" applyBorder="1" applyAlignment="1">
      <alignment vertical="top"/>
      <protection/>
    </xf>
    <xf numFmtId="0" fontId="28" fillId="0" borderId="44" xfId="15" applyFont="1" applyBorder="1" applyAlignment="1">
      <alignment vertical="top"/>
      <protection/>
    </xf>
    <xf numFmtId="0" fontId="31" fillId="0" borderId="5" xfId="15" applyFont="1" applyBorder="1" applyAlignment="1">
      <alignment horizontal="center"/>
      <protection/>
    </xf>
    <xf numFmtId="0" fontId="28" fillId="0" borderId="6" xfId="15" applyFont="1" applyBorder="1" applyAlignment="1">
      <alignment vertical="top"/>
      <protection/>
    </xf>
    <xf numFmtId="0" fontId="28" fillId="0" borderId="20" xfId="15" applyFont="1" applyBorder="1" applyAlignment="1">
      <alignment vertical="top"/>
      <protection/>
    </xf>
    <xf numFmtId="0" fontId="28" fillId="0" borderId="5" xfId="15" applyFont="1" applyBorder="1" applyAlignment="1">
      <alignment vertical="top"/>
      <protection/>
    </xf>
    <xf numFmtId="2" fontId="28" fillId="0" borderId="52" xfId="15" applyNumberFormat="1" applyFont="1" applyBorder="1" applyAlignment="1">
      <alignment vertical="top"/>
      <protection/>
    </xf>
    <xf numFmtId="2" fontId="28" fillId="0" borderId="31" xfId="15" applyNumberFormat="1" applyFont="1" applyBorder="1" applyAlignment="1">
      <alignment vertical="top"/>
      <protection/>
    </xf>
    <xf numFmtId="0" fontId="3" fillId="0" borderId="0" xfId="33" applyAlignment="1">
      <alignment horizontal="left"/>
      <protection/>
    </xf>
    <xf numFmtId="0" fontId="3" fillId="0" borderId="0" xfId="33">
      <alignment/>
      <protection/>
    </xf>
    <xf numFmtId="0" fontId="16" fillId="0" borderId="55" xfId="33" applyFont="1" applyBorder="1" applyAlignment="1">
      <alignment horizontal="center" vertical="top" wrapText="1"/>
      <protection/>
    </xf>
    <xf numFmtId="0" fontId="16" fillId="0" borderId="56" xfId="33" applyFont="1" applyBorder="1" applyAlignment="1">
      <alignment horizontal="center" vertical="top" wrapText="1"/>
      <protection/>
    </xf>
    <xf numFmtId="0" fontId="16" fillId="0" borderId="57" xfId="33" applyFont="1" applyBorder="1" applyAlignment="1">
      <alignment horizontal="center" vertical="top" wrapText="1"/>
      <protection/>
    </xf>
    <xf numFmtId="0" fontId="16" fillId="0" borderId="58" xfId="33" applyFont="1" applyBorder="1" applyAlignment="1">
      <alignment horizontal="center" vertical="top" wrapText="1"/>
      <protection/>
    </xf>
    <xf numFmtId="0" fontId="16" fillId="0" borderId="54" xfId="33" applyFont="1" applyBorder="1" applyAlignment="1">
      <alignment vertical="top" wrapText="1"/>
      <protection/>
    </xf>
    <xf numFmtId="0" fontId="16" fillId="0" borderId="59" xfId="33" applyFont="1" applyBorder="1" applyAlignment="1">
      <alignment horizontal="center" vertical="top" wrapText="1"/>
      <protection/>
    </xf>
    <xf numFmtId="167" fontId="16" fillId="0" borderId="59" xfId="33" applyNumberFormat="1" applyFont="1" applyBorder="1" applyAlignment="1">
      <alignment horizontal="center" vertical="top" wrapText="1"/>
      <protection/>
    </xf>
    <xf numFmtId="167" fontId="16" fillId="0" borderId="54" xfId="33" applyNumberFormat="1" applyFont="1" applyBorder="1" applyAlignment="1">
      <alignment horizontal="center" vertical="top" wrapText="1"/>
      <protection/>
    </xf>
    <xf numFmtId="0" fontId="16" fillId="0" borderId="60" xfId="33" applyFont="1" applyBorder="1" applyAlignment="1">
      <alignment horizontal="center" vertical="top" wrapText="1"/>
      <protection/>
    </xf>
    <xf numFmtId="0" fontId="16" fillId="0" borderId="54" xfId="33" applyFont="1" applyBorder="1" applyAlignment="1">
      <alignment horizontal="center" vertical="top" wrapText="1"/>
      <protection/>
    </xf>
    <xf numFmtId="0" fontId="16" fillId="0" borderId="61" xfId="33" applyFont="1" applyBorder="1" applyAlignment="1">
      <alignment horizontal="center" vertical="top" wrapText="1"/>
      <protection/>
    </xf>
    <xf numFmtId="0" fontId="16" fillId="0" borderId="62" xfId="33" applyFont="1" applyBorder="1" applyAlignment="1">
      <alignment vertical="top" wrapText="1"/>
      <protection/>
    </xf>
    <xf numFmtId="0" fontId="33" fillId="0" borderId="63" xfId="33" applyFont="1" applyBorder="1" applyAlignment="1">
      <alignment vertical="top" wrapText="1"/>
      <protection/>
    </xf>
    <xf numFmtId="0" fontId="33" fillId="0" borderId="62" xfId="33" applyFont="1" applyBorder="1" applyAlignment="1">
      <alignment vertical="top" wrapText="1"/>
      <protection/>
    </xf>
    <xf numFmtId="0" fontId="33" fillId="0" borderId="64" xfId="33" applyFont="1" applyBorder="1" applyAlignment="1">
      <alignment vertical="top" wrapText="1"/>
      <protection/>
    </xf>
    <xf numFmtId="0" fontId="33" fillId="0" borderId="59" xfId="33" applyFont="1" applyBorder="1" applyAlignment="1">
      <alignment vertical="top" wrapText="1"/>
      <protection/>
    </xf>
    <xf numFmtId="0" fontId="33" fillId="0" borderId="61" xfId="33" applyFont="1" applyBorder="1" applyAlignment="1">
      <alignment vertical="top" wrapText="1"/>
      <protection/>
    </xf>
    <xf numFmtId="0" fontId="16" fillId="0" borderId="65" xfId="33" applyFont="1" applyBorder="1" applyAlignment="1">
      <alignment horizontal="left" vertical="top" wrapText="1"/>
      <protection/>
    </xf>
    <xf numFmtId="0" fontId="16" fillId="0" borderId="51" xfId="33" applyNumberFormat="1" applyFont="1" applyBorder="1" applyAlignment="1">
      <alignment horizontal="center" vertical="top" wrapText="1"/>
      <protection/>
    </xf>
    <xf numFmtId="0" fontId="16" fillId="0" borderId="47" xfId="33" applyNumberFormat="1" applyFont="1" applyBorder="1" applyAlignment="1">
      <alignment horizontal="center" vertical="top" wrapText="1"/>
      <protection/>
    </xf>
    <xf numFmtId="10" fontId="16" fillId="7" borderId="51" xfId="33" applyNumberFormat="1" applyFont="1" applyFill="1" applyBorder="1" applyAlignment="1">
      <alignment horizontal="center" vertical="top" wrapText="1"/>
      <protection/>
    </xf>
    <xf numFmtId="0" fontId="16" fillId="7" borderId="51" xfId="33" applyNumberFormat="1" applyFont="1" applyFill="1" applyBorder="1" applyAlignment="1">
      <alignment horizontal="center" vertical="top" wrapText="1"/>
      <protection/>
    </xf>
    <xf numFmtId="0" fontId="16" fillId="7" borderId="47" xfId="33" applyNumberFormat="1" applyFont="1" applyFill="1" applyBorder="1" applyAlignment="1">
      <alignment horizontal="center" vertical="top" wrapText="1"/>
      <protection/>
    </xf>
    <xf numFmtId="10" fontId="16" fillId="7" borderId="66" xfId="33" applyNumberFormat="1" applyFont="1" applyFill="1" applyBorder="1" applyAlignment="1">
      <alignment horizontal="center" vertical="top" wrapText="1"/>
      <protection/>
    </xf>
    <xf numFmtId="0" fontId="16" fillId="0" borderId="63" xfId="33" applyFont="1" applyBorder="1" applyAlignment="1">
      <alignment horizontal="center" vertical="top" wrapText="1"/>
      <protection/>
    </xf>
    <xf numFmtId="0" fontId="16" fillId="0" borderId="62" xfId="33" applyFont="1" applyBorder="1" applyAlignment="1">
      <alignment horizontal="center" vertical="top" wrapText="1"/>
      <protection/>
    </xf>
    <xf numFmtId="0" fontId="33" fillId="0" borderId="67" xfId="33" applyFont="1" applyBorder="1" applyAlignment="1">
      <alignment vertical="top" wrapText="1"/>
      <protection/>
    </xf>
    <xf numFmtId="0" fontId="16" fillId="0" borderId="68" xfId="33" applyFont="1" applyBorder="1" applyAlignment="1">
      <alignment horizontal="left" vertical="top" wrapText="1"/>
      <protection/>
    </xf>
    <xf numFmtId="0" fontId="16" fillId="0" borderId="69" xfId="33" applyNumberFormat="1" applyFont="1" applyBorder="1" applyAlignment="1">
      <alignment horizontal="center" vertical="top" wrapText="1"/>
      <protection/>
    </xf>
    <xf numFmtId="0" fontId="16" fillId="0" borderId="17" xfId="33" applyNumberFormat="1" applyFont="1" applyBorder="1" applyAlignment="1">
      <alignment horizontal="center" vertical="top" wrapText="1"/>
      <protection/>
    </xf>
    <xf numFmtId="10" fontId="16" fillId="7" borderId="69" xfId="33" applyNumberFormat="1" applyFont="1" applyFill="1" applyBorder="1" applyAlignment="1">
      <alignment horizontal="center" vertical="top" wrapText="1"/>
      <protection/>
    </xf>
    <xf numFmtId="0" fontId="16" fillId="7" borderId="69" xfId="33" applyNumberFormat="1" applyFont="1" applyFill="1" applyBorder="1" applyAlignment="1">
      <alignment horizontal="center" vertical="top" wrapText="1"/>
      <protection/>
    </xf>
    <xf numFmtId="0" fontId="16" fillId="7" borderId="17" xfId="33" applyNumberFormat="1" applyFont="1" applyFill="1" applyBorder="1" applyAlignment="1">
      <alignment horizontal="center" vertical="top" wrapText="1"/>
      <protection/>
    </xf>
    <xf numFmtId="10" fontId="16" fillId="7" borderId="70" xfId="33" applyNumberFormat="1" applyFont="1" applyFill="1" applyBorder="1" applyAlignment="1">
      <alignment horizontal="center" vertical="top" wrapText="1"/>
      <protection/>
    </xf>
    <xf numFmtId="10" fontId="16" fillId="7" borderId="71" xfId="33" applyNumberFormat="1" applyFont="1" applyFill="1" applyBorder="1" applyAlignment="1">
      <alignment horizontal="center" vertical="top" wrapText="1"/>
      <protection/>
    </xf>
    <xf numFmtId="0" fontId="16" fillId="0" borderId="31" xfId="33" applyNumberFormat="1" applyFont="1" applyBorder="1" applyAlignment="1">
      <alignment horizontal="center" vertical="top" wrapText="1"/>
      <protection/>
    </xf>
    <xf numFmtId="10" fontId="16" fillId="7" borderId="72" xfId="33" applyNumberFormat="1" applyFont="1" applyFill="1" applyBorder="1" applyAlignment="1">
      <alignment horizontal="center" vertical="top" wrapText="1"/>
      <protection/>
    </xf>
    <xf numFmtId="2" fontId="16" fillId="0" borderId="51" xfId="33" applyNumberFormat="1" applyFont="1" applyBorder="1" applyAlignment="1">
      <alignment horizontal="center" vertical="top" wrapText="1"/>
      <protection/>
    </xf>
    <xf numFmtId="2" fontId="16" fillId="0" borderId="47" xfId="33" applyNumberFormat="1" applyFont="1" applyBorder="1" applyAlignment="1">
      <alignment horizontal="center" vertical="top" wrapText="1"/>
      <protection/>
    </xf>
    <xf numFmtId="2" fontId="16" fillId="7" borderId="51" xfId="33" applyNumberFormat="1" applyFont="1" applyFill="1" applyBorder="1" applyAlignment="1">
      <alignment horizontal="center" vertical="top" wrapText="1"/>
      <protection/>
    </xf>
    <xf numFmtId="2" fontId="16" fillId="7" borderId="47" xfId="33" applyNumberFormat="1" applyFont="1" applyFill="1" applyBorder="1" applyAlignment="1">
      <alignment horizontal="center" vertical="top" wrapText="1"/>
      <protection/>
    </xf>
    <xf numFmtId="2" fontId="16" fillId="0" borderId="69" xfId="33" applyNumberFormat="1" applyFont="1" applyBorder="1" applyAlignment="1">
      <alignment horizontal="center" vertical="top" wrapText="1"/>
      <protection/>
    </xf>
    <xf numFmtId="2" fontId="16" fillId="0" borderId="17" xfId="33" applyNumberFormat="1" applyFont="1" applyBorder="1" applyAlignment="1">
      <alignment horizontal="center" vertical="top" wrapText="1"/>
      <protection/>
    </xf>
    <xf numFmtId="2" fontId="16" fillId="7" borderId="69" xfId="33" applyNumberFormat="1" applyFont="1" applyFill="1" applyBorder="1" applyAlignment="1">
      <alignment horizontal="center" vertical="top" wrapText="1"/>
      <protection/>
    </xf>
    <xf numFmtId="2" fontId="16" fillId="7" borderId="17" xfId="33" applyNumberFormat="1" applyFont="1" applyFill="1" applyBorder="1" applyAlignment="1">
      <alignment horizontal="center" vertical="top" wrapText="1"/>
      <protection/>
    </xf>
    <xf numFmtId="1" fontId="16" fillId="0" borderId="51" xfId="33" applyNumberFormat="1" applyFont="1" applyBorder="1" applyAlignment="1">
      <alignment horizontal="center" vertical="top" wrapText="1"/>
      <protection/>
    </xf>
    <xf numFmtId="1" fontId="16" fillId="0" borderId="47" xfId="33" applyNumberFormat="1" applyFont="1" applyBorder="1" applyAlignment="1">
      <alignment horizontal="center" vertical="top" wrapText="1"/>
      <protection/>
    </xf>
    <xf numFmtId="1" fontId="16" fillId="7" borderId="51" xfId="33" applyNumberFormat="1" applyFont="1" applyFill="1" applyBorder="1" applyAlignment="1">
      <alignment horizontal="center" vertical="top" wrapText="1"/>
      <protection/>
    </xf>
    <xf numFmtId="1" fontId="16" fillId="7" borderId="47" xfId="33" applyNumberFormat="1" applyFont="1" applyFill="1" applyBorder="1" applyAlignment="1">
      <alignment horizontal="center" vertical="top" wrapText="1"/>
      <protection/>
    </xf>
    <xf numFmtId="10" fontId="16" fillId="7" borderId="73" xfId="33" applyNumberFormat="1" applyFont="1" applyFill="1" applyBorder="1" applyAlignment="1">
      <alignment horizontal="center" vertical="top" wrapText="1"/>
      <protection/>
    </xf>
    <xf numFmtId="0" fontId="16" fillId="0" borderId="74" xfId="33" applyFont="1" applyBorder="1" applyAlignment="1">
      <alignment horizontal="left" vertical="top" wrapText="1"/>
      <protection/>
    </xf>
    <xf numFmtId="2" fontId="16" fillId="0" borderId="63" xfId="33" applyNumberFormat="1" applyFont="1" applyBorder="1" applyAlignment="1">
      <alignment horizontal="center" vertical="top" wrapText="1"/>
      <protection/>
    </xf>
    <xf numFmtId="2" fontId="16" fillId="0" borderId="62" xfId="33" applyNumberFormat="1" applyFont="1" applyBorder="1" applyAlignment="1">
      <alignment horizontal="center" vertical="top" wrapText="1"/>
      <protection/>
    </xf>
    <xf numFmtId="10" fontId="16" fillId="7" borderId="75" xfId="33" applyNumberFormat="1" applyFont="1" applyFill="1" applyBorder="1" applyAlignment="1">
      <alignment horizontal="center" vertical="top" wrapText="1"/>
      <protection/>
    </xf>
    <xf numFmtId="2" fontId="16" fillId="7" borderId="63" xfId="33" applyNumberFormat="1" applyFont="1" applyFill="1" applyBorder="1" applyAlignment="1">
      <alignment horizontal="center" vertical="top" wrapText="1"/>
      <protection/>
    </xf>
    <xf numFmtId="2" fontId="16" fillId="7" borderId="62" xfId="33" applyNumberFormat="1" applyFont="1" applyFill="1" applyBorder="1" applyAlignment="1">
      <alignment horizontal="center" vertical="top" wrapText="1"/>
      <protection/>
    </xf>
    <xf numFmtId="10" fontId="16" fillId="7" borderId="76" xfId="33" applyNumberFormat="1" applyFont="1" applyFill="1" applyBorder="1" applyAlignment="1">
      <alignment horizontal="center" vertical="top" wrapText="1"/>
      <protection/>
    </xf>
    <xf numFmtId="10" fontId="16" fillId="7" borderId="77" xfId="33" applyNumberFormat="1" applyFont="1" applyFill="1" applyBorder="1" applyAlignment="1">
      <alignment horizontal="center" vertical="top" wrapText="1"/>
      <protection/>
    </xf>
    <xf numFmtId="10" fontId="16" fillId="7" borderId="59" xfId="33" applyNumberFormat="1" applyFont="1" applyFill="1" applyBorder="1" applyAlignment="1">
      <alignment horizontal="center" vertical="top" wrapText="1"/>
      <protection/>
    </xf>
    <xf numFmtId="0" fontId="16" fillId="0" borderId="78" xfId="33" applyFont="1" applyBorder="1" applyAlignment="1">
      <alignment horizontal="left" vertical="top" wrapText="1"/>
      <protection/>
    </xf>
    <xf numFmtId="0" fontId="16" fillId="0" borderId="59" xfId="33" applyNumberFormat="1" applyFont="1" applyBorder="1" applyAlignment="1">
      <alignment horizontal="center" vertical="top" wrapText="1"/>
      <protection/>
    </xf>
    <xf numFmtId="0" fontId="16" fillId="0" borderId="54" xfId="33" applyNumberFormat="1" applyFont="1" applyBorder="1" applyAlignment="1">
      <alignment horizontal="center" vertical="top" wrapText="1"/>
      <protection/>
    </xf>
    <xf numFmtId="10" fontId="16" fillId="7" borderId="31" xfId="33" applyNumberFormat="1" applyFont="1" applyFill="1" applyBorder="1" applyAlignment="1">
      <alignment horizontal="center" vertical="top" wrapText="1"/>
      <protection/>
    </xf>
    <xf numFmtId="0" fontId="16" fillId="7" borderId="59" xfId="33" applyNumberFormat="1" applyFont="1" applyFill="1" applyBorder="1" applyAlignment="1">
      <alignment horizontal="center" vertical="top" wrapText="1"/>
      <protection/>
    </xf>
    <xf numFmtId="0" fontId="16" fillId="7" borderId="54" xfId="33" applyNumberFormat="1" applyFont="1" applyFill="1" applyBorder="1" applyAlignment="1">
      <alignment horizontal="center" vertical="top" wrapText="1"/>
      <protection/>
    </xf>
    <xf numFmtId="10" fontId="16" fillId="7" borderId="47" xfId="33" applyNumberFormat="1" applyFont="1" applyFill="1" applyBorder="1" applyAlignment="1">
      <alignment horizontal="center" vertical="top" wrapText="1"/>
      <protection/>
    </xf>
    <xf numFmtId="0" fontId="16" fillId="0" borderId="79" xfId="33" applyFont="1" applyBorder="1" applyAlignment="1">
      <alignment horizontal="left" vertical="top" wrapText="1"/>
      <protection/>
    </xf>
    <xf numFmtId="0" fontId="16" fillId="0" borderId="80" xfId="33" applyNumberFormat="1" applyFont="1" applyBorder="1" applyAlignment="1">
      <alignment horizontal="center" vertical="top" wrapText="1"/>
      <protection/>
    </xf>
    <xf numFmtId="0" fontId="16" fillId="0" borderId="75" xfId="33" applyNumberFormat="1" applyFont="1" applyBorder="1" applyAlignment="1">
      <alignment horizontal="center" vertical="top" wrapText="1"/>
      <protection/>
    </xf>
    <xf numFmtId="0" fontId="16" fillId="7" borderId="80" xfId="33" applyNumberFormat="1" applyFont="1" applyFill="1" applyBorder="1" applyAlignment="1">
      <alignment horizontal="center" vertical="top" wrapText="1"/>
      <protection/>
    </xf>
    <xf numFmtId="0" fontId="16" fillId="7" borderId="75" xfId="33" applyNumberFormat="1" applyFont="1" applyFill="1" applyBorder="1" applyAlignment="1">
      <alignment horizontal="center" vertical="top" wrapText="1"/>
      <protection/>
    </xf>
    <xf numFmtId="9" fontId="16" fillId="7" borderId="51" xfId="33" applyNumberFormat="1" applyFont="1" applyFill="1" applyBorder="1" applyAlignment="1">
      <alignment horizontal="center" vertical="top" wrapText="1"/>
      <protection/>
    </xf>
    <xf numFmtId="0" fontId="35" fillId="0" borderId="81" xfId="33" applyFont="1" applyBorder="1">
      <alignment/>
      <protection/>
    </xf>
    <xf numFmtId="0" fontId="35" fillId="0" borderId="55" xfId="33" applyFont="1" applyBorder="1">
      <alignment/>
      <protection/>
    </xf>
    <xf numFmtId="0" fontId="35" fillId="0" borderId="58" xfId="33" applyFont="1" applyBorder="1">
      <alignment/>
      <protection/>
    </xf>
    <xf numFmtId="0" fontId="35" fillId="0" borderId="65" xfId="33" applyFont="1" applyBorder="1">
      <alignment/>
      <protection/>
    </xf>
    <xf numFmtId="0" fontId="35" fillId="0" borderId="47" xfId="33" applyFont="1" applyBorder="1">
      <alignment/>
      <protection/>
    </xf>
    <xf numFmtId="0" fontId="35" fillId="0" borderId="73" xfId="33" applyFont="1" applyBorder="1">
      <alignment/>
      <protection/>
    </xf>
    <xf numFmtId="0" fontId="35" fillId="0" borderId="68" xfId="33" applyFont="1" applyBorder="1" applyAlignment="1">
      <alignment horizontal="left" vertical="top" wrapText="1"/>
      <protection/>
    </xf>
    <xf numFmtId="0" fontId="35" fillId="0" borderId="17" xfId="33" applyFont="1" applyBorder="1" applyAlignment="1">
      <alignment horizontal="center" vertical="center"/>
      <protection/>
    </xf>
    <xf numFmtId="10" fontId="16" fillId="7" borderId="51" xfId="33" applyNumberFormat="1" applyFont="1" applyFill="1" applyBorder="1" applyAlignment="1">
      <alignment horizontal="center" vertical="center" wrapText="1"/>
      <protection/>
    </xf>
    <xf numFmtId="0" fontId="35" fillId="7" borderId="17" xfId="33" applyFont="1" applyFill="1" applyBorder="1" applyAlignment="1">
      <alignment horizontal="center" vertical="center"/>
      <protection/>
    </xf>
    <xf numFmtId="10" fontId="16" fillId="7" borderId="66" xfId="33" applyNumberFormat="1" applyFont="1" applyFill="1" applyBorder="1" applyAlignment="1">
      <alignment horizontal="center" vertical="center" wrapText="1"/>
      <protection/>
    </xf>
    <xf numFmtId="10" fontId="16" fillId="7" borderId="69" xfId="33" applyNumberFormat="1" applyFont="1" applyFill="1" applyBorder="1" applyAlignment="1">
      <alignment horizontal="center" vertical="center" wrapText="1"/>
      <protection/>
    </xf>
    <xf numFmtId="10" fontId="16" fillId="7" borderId="70" xfId="33" applyNumberFormat="1" applyFont="1" applyFill="1" applyBorder="1" applyAlignment="1">
      <alignment horizontal="center" vertical="center" wrapText="1"/>
      <protection/>
    </xf>
    <xf numFmtId="10" fontId="16" fillId="7" borderId="61" xfId="33" applyNumberFormat="1" applyFont="1" applyFill="1" applyBorder="1" applyAlignment="1">
      <alignment horizontal="center" vertical="top" wrapText="1"/>
      <protection/>
    </xf>
    <xf numFmtId="10" fontId="16" fillId="7" borderId="72" xfId="33" applyNumberFormat="1" applyFont="1" applyFill="1" applyBorder="1" applyAlignment="1">
      <alignment horizontal="center" vertical="center" wrapText="1"/>
      <protection/>
    </xf>
    <xf numFmtId="0" fontId="36" fillId="0" borderId="0" xfId="33" applyFont="1" applyAlignment="1">
      <alignment horizontal="left"/>
      <protection/>
    </xf>
    <xf numFmtId="0" fontId="35" fillId="0" borderId="79" xfId="33" applyFont="1" applyBorder="1" applyAlignment="1">
      <alignment horizontal="left" vertical="top" wrapText="1"/>
      <protection/>
    </xf>
    <xf numFmtId="0" fontId="35" fillId="0" borderId="75" xfId="33" applyFont="1" applyBorder="1" applyAlignment="1">
      <alignment horizontal="center" vertical="center"/>
      <protection/>
    </xf>
    <xf numFmtId="10" fontId="16" fillId="7" borderId="63" xfId="33" applyNumberFormat="1" applyFont="1" applyFill="1" applyBorder="1" applyAlignment="1">
      <alignment horizontal="center" vertical="center" wrapText="1"/>
      <protection/>
    </xf>
    <xf numFmtId="0" fontId="35" fillId="7" borderId="75" xfId="33" applyFont="1" applyFill="1" applyBorder="1" applyAlignment="1">
      <alignment horizontal="center" vertical="center"/>
      <protection/>
    </xf>
    <xf numFmtId="10" fontId="16" fillId="7" borderId="64" xfId="33" applyNumberFormat="1" applyFont="1" applyFill="1" applyBorder="1" applyAlignment="1">
      <alignment horizontal="center" vertical="center" wrapText="1"/>
      <protection/>
    </xf>
    <xf numFmtId="1" fontId="4" fillId="0" borderId="0" xfId="15" applyNumberFormat="1">
      <alignment/>
      <protection/>
    </xf>
    <xf numFmtId="0" fontId="4" fillId="0" borderId="0" xfId="15">
      <alignment/>
      <protection/>
    </xf>
    <xf numFmtId="0" fontId="4" fillId="0" borderId="0" xfId="15" applyFont="1" applyAlignment="1">
      <alignment horizontal="center"/>
      <protection/>
    </xf>
    <xf numFmtId="1" fontId="20" fillId="0" borderId="0" xfId="15" applyNumberFormat="1" applyFont="1" applyBorder="1">
      <alignment/>
      <protection/>
    </xf>
    <xf numFmtId="0" fontId="20" fillId="0" borderId="0" xfId="15" applyFont="1" applyBorder="1" applyAlignment="1">
      <alignment vertical="center"/>
      <protection/>
    </xf>
    <xf numFmtId="0" fontId="37" fillId="0" borderId="0" xfId="15" applyFont="1" applyBorder="1" applyAlignment="1">
      <alignment horizontal="center" vertical="center"/>
      <protection/>
    </xf>
    <xf numFmtId="0" fontId="12" fillId="0" borderId="10" xfId="15" applyFont="1" applyBorder="1" applyAlignment="1">
      <alignment horizontal="right"/>
      <protection/>
    </xf>
    <xf numFmtId="0" fontId="38" fillId="0" borderId="0" xfId="15" applyFont="1" applyBorder="1" applyAlignment="1">
      <alignment vertical="center"/>
      <protection/>
    </xf>
    <xf numFmtId="0" fontId="39" fillId="0" borderId="0" xfId="15" applyFont="1" applyBorder="1" applyAlignment="1">
      <alignment horizontal="center" vertical="center"/>
      <protection/>
    </xf>
    <xf numFmtId="0" fontId="20" fillId="0" borderId="0" xfId="15" applyFont="1" applyBorder="1">
      <alignment/>
      <protection/>
    </xf>
    <xf numFmtId="0" fontId="40" fillId="0" borderId="0" xfId="15" applyFont="1">
      <alignment/>
      <protection/>
    </xf>
    <xf numFmtId="0" fontId="4" fillId="0" borderId="0" xfId="15" applyAlignment="1">
      <alignment vertical="top" wrapText="1"/>
      <protection/>
    </xf>
    <xf numFmtId="1" fontId="28" fillId="0" borderId="0" xfId="15" applyNumberFormat="1" applyFont="1">
      <alignment/>
      <protection/>
    </xf>
    <xf numFmtId="0" fontId="41" fillId="0" borderId="17" xfId="15" applyFont="1" applyBorder="1" applyAlignment="1">
      <alignment vertical="top" wrapText="1"/>
      <protection/>
    </xf>
    <xf numFmtId="0" fontId="43" fillId="0" borderId="17" xfId="15" applyFont="1" applyBorder="1" applyAlignment="1">
      <alignment horizontal="center"/>
      <protection/>
    </xf>
    <xf numFmtId="0" fontId="30" fillId="0" borderId="17" xfId="15" applyFont="1" applyBorder="1">
      <alignment/>
      <protection/>
    </xf>
    <xf numFmtId="2" fontId="43" fillId="0" borderId="17" xfId="15" applyNumberFormat="1" applyFont="1" applyBorder="1" applyAlignment="1">
      <alignment horizontal="center"/>
      <protection/>
    </xf>
    <xf numFmtId="0" fontId="43" fillId="0" borderId="17" xfId="15" applyFont="1" applyBorder="1" applyAlignment="1">
      <alignment horizontal="center" vertical="top" wrapText="1"/>
      <protection/>
    </xf>
    <xf numFmtId="2" fontId="43" fillId="0" borderId="17" xfId="15" applyNumberFormat="1" applyFont="1" applyBorder="1" applyAlignment="1">
      <alignment vertical="top" wrapText="1"/>
      <protection/>
    </xf>
    <xf numFmtId="0" fontId="20" fillId="0" borderId="0" xfId="15" applyFont="1" applyAlignment="1">
      <alignment vertical="top" wrapText="1"/>
      <protection/>
    </xf>
    <xf numFmtId="0" fontId="43" fillId="0" borderId="0" xfId="15" applyFont="1" applyAlignment="1">
      <alignment horizontal="center" vertical="top" wrapText="1"/>
      <protection/>
    </xf>
    <xf numFmtId="0" fontId="44" fillId="0" borderId="17" xfId="15" applyFont="1" applyBorder="1" applyAlignment="1">
      <alignment vertical="top" wrapText="1"/>
      <protection/>
    </xf>
    <xf numFmtId="0" fontId="45" fillId="0" borderId="17" xfId="15" applyFont="1" applyBorder="1" applyAlignment="1">
      <alignment horizontal="center" vertical="top" wrapText="1"/>
      <protection/>
    </xf>
    <xf numFmtId="2" fontId="45" fillId="0" borderId="17" xfId="15" applyNumberFormat="1" applyFont="1" applyBorder="1" applyAlignment="1">
      <alignment vertical="top" wrapText="1"/>
      <protection/>
    </xf>
    <xf numFmtId="0" fontId="41" fillId="0" borderId="17" xfId="15" applyFont="1" applyBorder="1">
      <alignment/>
      <protection/>
    </xf>
    <xf numFmtId="0" fontId="43" fillId="0" borderId="17" xfId="15" applyFont="1" applyBorder="1">
      <alignment/>
      <protection/>
    </xf>
    <xf numFmtId="0" fontId="30" fillId="0" borderId="17" xfId="15" applyFont="1" applyBorder="1" applyAlignment="1">
      <alignment wrapText="1"/>
      <protection/>
    </xf>
    <xf numFmtId="2" fontId="43" fillId="0" borderId="17" xfId="15" applyNumberFormat="1" applyFont="1" applyBorder="1" applyAlignment="1">
      <alignment horizontal="center" vertical="top" wrapText="1"/>
      <protection/>
    </xf>
    <xf numFmtId="0" fontId="41" fillId="0" borderId="0" xfId="15" applyFont="1">
      <alignment/>
      <protection/>
    </xf>
    <xf numFmtId="0" fontId="43" fillId="0" borderId="0" xfId="15" applyFont="1" applyAlignment="1">
      <alignment horizontal="center"/>
      <protection/>
    </xf>
    <xf numFmtId="0" fontId="40" fillId="0" borderId="0" xfId="15" applyFont="1" applyAlignment="1">
      <alignment vertical="top" wrapText="1"/>
      <protection/>
    </xf>
    <xf numFmtId="166" fontId="4" fillId="0" borderId="0" xfId="15" applyNumberFormat="1">
      <alignment/>
      <protection/>
    </xf>
    <xf numFmtId="0" fontId="4" fillId="0" borderId="0" xfId="15" applyNumberFormat="1">
      <alignment/>
      <protection/>
    </xf>
    <xf numFmtId="168" fontId="4" fillId="0" borderId="0" xfId="15" applyNumberFormat="1">
      <alignment/>
      <protection/>
    </xf>
    <xf numFmtId="0" fontId="5" fillId="0" borderId="0" xfId="15" applyFont="1" applyAlignment="1">
      <alignment/>
      <protection/>
    </xf>
    <xf numFmtId="0" fontId="5" fillId="0" borderId="0" xfId="15" applyFont="1" applyAlignment="1">
      <alignment horizontal="center"/>
      <protection/>
    </xf>
    <xf numFmtId="0" fontId="4" fillId="0" borderId="17" xfId="15" applyFont="1" applyBorder="1">
      <alignment/>
      <protection/>
    </xf>
    <xf numFmtId="164" fontId="47" fillId="0" borderId="17" xfId="15" applyNumberFormat="1" applyFont="1" applyBorder="1" applyAlignment="1">
      <alignment horizontal="center"/>
      <protection/>
    </xf>
    <xf numFmtId="0" fontId="47" fillId="0" borderId="17" xfId="15" applyFont="1" applyBorder="1" applyAlignment="1">
      <alignment horizontal="center"/>
      <protection/>
    </xf>
    <xf numFmtId="1" fontId="47" fillId="0" borderId="17" xfId="15" applyNumberFormat="1" applyFont="1" applyBorder="1" applyAlignment="1">
      <alignment horizontal="center"/>
      <protection/>
    </xf>
    <xf numFmtId="0" fontId="4" fillId="0" borderId="17" xfId="15" applyFont="1" applyFill="1" applyBorder="1" applyAlignment="1">
      <alignment wrapText="1"/>
      <protection/>
    </xf>
    <xf numFmtId="0" fontId="14" fillId="0" borderId="17" xfId="15" applyFont="1" applyBorder="1" applyAlignment="1">
      <alignment/>
      <protection/>
    </xf>
    <xf numFmtId="0" fontId="14" fillId="0" borderId="17" xfId="15" applyFont="1" applyBorder="1" applyAlignment="1">
      <alignment horizontal="center"/>
      <protection/>
    </xf>
    <xf numFmtId="0" fontId="49" fillId="0" borderId="17" xfId="15" applyFont="1" applyBorder="1" applyAlignment="1">
      <alignment horizontal="center"/>
      <protection/>
    </xf>
    <xf numFmtId="0" fontId="14" fillId="0" borderId="17" xfId="15" applyFont="1" applyBorder="1">
      <alignment/>
      <protection/>
    </xf>
    <xf numFmtId="0" fontId="50" fillId="0" borderId="17" xfId="15" applyFont="1" applyBorder="1">
      <alignment/>
      <protection/>
    </xf>
    <xf numFmtId="0" fontId="51" fillId="0" borderId="17" xfId="15" applyFont="1" applyBorder="1" applyAlignment="1">
      <alignment horizontal="right"/>
      <protection/>
    </xf>
    <xf numFmtId="0" fontId="14" fillId="2" borderId="17" xfId="15" applyFont="1" applyFill="1" applyBorder="1">
      <alignment/>
      <protection/>
    </xf>
    <xf numFmtId="0" fontId="51" fillId="2" borderId="17" xfId="15" applyFont="1" applyFill="1" applyBorder="1" applyAlignment="1">
      <alignment horizontal="right"/>
      <protection/>
    </xf>
    <xf numFmtId="0" fontId="14" fillId="0" borderId="17" xfId="15" applyFont="1" applyFill="1" applyBorder="1" applyAlignment="1">
      <alignment horizontal="center"/>
      <protection/>
    </xf>
    <xf numFmtId="0" fontId="49" fillId="0" borderId="17" xfId="15" applyFont="1" applyFill="1" applyBorder="1" applyAlignment="1">
      <alignment horizontal="center"/>
      <protection/>
    </xf>
    <xf numFmtId="0" fontId="50" fillId="0" borderId="17" xfId="15" applyFont="1" applyFill="1" applyBorder="1">
      <alignment/>
      <protection/>
    </xf>
    <xf numFmtId="0" fontId="51" fillId="0" borderId="17" xfId="15" applyFont="1" applyFill="1" applyBorder="1" applyAlignment="1">
      <alignment horizontal="right"/>
      <protection/>
    </xf>
    <xf numFmtId="0" fontId="50" fillId="2" borderId="17" xfId="15" applyFont="1" applyFill="1" applyBorder="1">
      <alignment/>
      <protection/>
    </xf>
    <xf numFmtId="3" fontId="50" fillId="2" borderId="17" xfId="15" applyNumberFormat="1" applyFont="1" applyFill="1" applyBorder="1">
      <alignment/>
      <protection/>
    </xf>
    <xf numFmtId="3" fontId="14" fillId="2" borderId="17" xfId="15" applyNumberFormat="1" applyFont="1" applyFill="1" applyBorder="1">
      <alignment/>
      <protection/>
    </xf>
    <xf numFmtId="3" fontId="50" fillId="0" borderId="17" xfId="15" applyNumberFormat="1" applyFont="1" applyBorder="1">
      <alignment/>
      <protection/>
    </xf>
    <xf numFmtId="0" fontId="30" fillId="0" borderId="0" xfId="15" applyFont="1">
      <alignment/>
      <protection/>
    </xf>
    <xf numFmtId="0" fontId="14" fillId="0" borderId="31" xfId="15" applyFont="1" applyBorder="1">
      <alignment/>
      <protection/>
    </xf>
    <xf numFmtId="0" fontId="50" fillId="0" borderId="31" xfId="15" applyFont="1" applyBorder="1">
      <alignment/>
      <protection/>
    </xf>
    <xf numFmtId="0" fontId="51" fillId="0" borderId="31" xfId="15" applyFont="1" applyBorder="1" applyAlignment="1">
      <alignment horizontal="right"/>
      <protection/>
    </xf>
    <xf numFmtId="3" fontId="50" fillId="0" borderId="31" xfId="15" applyNumberFormat="1" applyFont="1" applyBorder="1">
      <alignment/>
      <protection/>
    </xf>
    <xf numFmtId="0" fontId="50" fillId="0" borderId="31" xfId="15" applyFont="1" applyFill="1" applyBorder="1">
      <alignment/>
      <protection/>
    </xf>
    <xf numFmtId="0" fontId="51" fillId="0" borderId="31" xfId="15" applyFont="1" applyFill="1" applyBorder="1" applyAlignment="1">
      <alignment horizontal="right"/>
      <protection/>
    </xf>
    <xf numFmtId="0" fontId="52" fillId="0" borderId="13" xfId="15" applyFont="1" applyBorder="1">
      <alignment/>
      <protection/>
    </xf>
    <xf numFmtId="0" fontId="53" fillId="2" borderId="13" xfId="15" applyFont="1" applyFill="1" applyBorder="1">
      <alignment/>
      <protection/>
    </xf>
    <xf numFmtId="0" fontId="18" fillId="2" borderId="13" xfId="15" applyFont="1" applyFill="1" applyBorder="1">
      <alignment/>
      <protection/>
    </xf>
    <xf numFmtId="0" fontId="54" fillId="2" borderId="13" xfId="15" applyFont="1" applyFill="1" applyBorder="1" applyAlignment="1">
      <alignment horizontal="right"/>
      <protection/>
    </xf>
    <xf numFmtId="3" fontId="53" fillId="2" borderId="13" xfId="15" applyNumberFormat="1" applyFont="1" applyFill="1" applyBorder="1">
      <alignment/>
      <protection/>
    </xf>
    <xf numFmtId="3" fontId="18" fillId="2" borderId="13" xfId="15" applyNumberFormat="1" applyFont="1" applyFill="1" applyBorder="1">
      <alignment/>
      <protection/>
    </xf>
    <xf numFmtId="0" fontId="52" fillId="0" borderId="17" xfId="15" applyFont="1" applyBorder="1">
      <alignment/>
      <protection/>
    </xf>
    <xf numFmtId="0" fontId="53" fillId="2" borderId="17" xfId="15" applyFont="1" applyFill="1" applyBorder="1">
      <alignment/>
      <protection/>
    </xf>
    <xf numFmtId="0" fontId="18" fillId="2" borderId="17" xfId="15" applyFont="1" applyFill="1" applyBorder="1">
      <alignment/>
      <protection/>
    </xf>
    <xf numFmtId="0" fontId="54" fillId="2" borderId="17" xfId="15" applyFont="1" applyFill="1" applyBorder="1" applyAlignment="1">
      <alignment horizontal="right"/>
      <protection/>
    </xf>
    <xf numFmtId="3" fontId="53" fillId="2" borderId="17" xfId="15" applyNumberFormat="1" applyFont="1" applyFill="1" applyBorder="1">
      <alignment/>
      <protection/>
    </xf>
    <xf numFmtId="3" fontId="18" fillId="2" borderId="17" xfId="15" applyNumberFormat="1" applyFont="1" applyFill="1" applyBorder="1">
      <alignment/>
      <protection/>
    </xf>
    <xf numFmtId="0" fontId="53" fillId="3" borderId="17" xfId="15" applyFont="1" applyFill="1" applyBorder="1">
      <alignment/>
      <protection/>
    </xf>
    <xf numFmtId="0" fontId="18" fillId="4" borderId="17" xfId="15" applyFont="1" applyFill="1" applyBorder="1">
      <alignment/>
      <protection/>
    </xf>
    <xf numFmtId="0" fontId="54" fillId="5" borderId="17" xfId="15" applyFont="1" applyFill="1" applyBorder="1" applyAlignment="1">
      <alignment horizontal="right"/>
      <protection/>
    </xf>
    <xf numFmtId="3" fontId="53" fillId="3" borderId="17" xfId="15" applyNumberFormat="1" applyFont="1" applyFill="1" applyBorder="1">
      <alignment/>
      <protection/>
    </xf>
    <xf numFmtId="3" fontId="18" fillId="4" borderId="17" xfId="15" applyNumberFormat="1" applyFont="1" applyFill="1" applyBorder="1">
      <alignment/>
      <protection/>
    </xf>
    <xf numFmtId="3" fontId="4" fillId="0" borderId="17" xfId="15" applyNumberFormat="1" applyBorder="1">
      <alignment/>
      <protection/>
    </xf>
    <xf numFmtId="0" fontId="14" fillId="0" borderId="15" xfId="15" applyFont="1" applyBorder="1" applyAlignment="1">
      <alignment vertical="top"/>
      <protection/>
    </xf>
    <xf numFmtId="0" fontId="14" fillId="0" borderId="15" xfId="15" applyFont="1" applyBorder="1" applyAlignment="1">
      <alignment horizontal="center" vertical="top"/>
      <protection/>
    </xf>
    <xf numFmtId="0" fontId="14" fillId="0" borderId="69" xfId="15" applyFont="1" applyBorder="1" applyAlignment="1">
      <alignment horizontal="center"/>
      <protection/>
    </xf>
    <xf numFmtId="0" fontId="14" fillId="0" borderId="29" xfId="15" applyFont="1" applyBorder="1" applyAlignment="1">
      <alignment horizontal="center" vertical="top"/>
      <protection/>
    </xf>
    <xf numFmtId="0" fontId="14" fillId="0" borderId="50" xfId="15" applyFont="1" applyBorder="1" applyAlignment="1">
      <alignment horizontal="center"/>
      <protection/>
    </xf>
    <xf numFmtId="0" fontId="14" fillId="0" borderId="18" xfId="15" applyFont="1" applyBorder="1" applyAlignment="1">
      <alignment horizontal="center" vertical="top"/>
      <protection/>
    </xf>
    <xf numFmtId="1" fontId="4" fillId="0" borderId="82" xfId="15" applyNumberFormat="1" applyFont="1" applyBorder="1" applyAlignment="1">
      <alignment vertical="top"/>
      <protection/>
    </xf>
    <xf numFmtId="0" fontId="4" fillId="0" borderId="50" xfId="15" applyBorder="1">
      <alignment/>
      <protection/>
    </xf>
    <xf numFmtId="0" fontId="4" fillId="0" borderId="18" xfId="15" applyFont="1" applyBorder="1">
      <alignment/>
      <protection/>
    </xf>
    <xf numFmtId="0" fontId="4" fillId="0" borderId="83" xfId="15" applyBorder="1">
      <alignment/>
      <protection/>
    </xf>
    <xf numFmtId="0" fontId="14" fillId="0" borderId="15" xfId="15" applyFont="1" applyBorder="1">
      <alignment/>
      <protection/>
    </xf>
    <xf numFmtId="0" fontId="14" fillId="0" borderId="69" xfId="15" applyFont="1" applyBorder="1" applyAlignment="1">
      <alignment vertical="top"/>
      <protection/>
    </xf>
    <xf numFmtId="0" fontId="14" fillId="0" borderId="17" xfId="15" applyFont="1" applyBorder="1" applyAlignment="1">
      <alignment vertical="top"/>
      <protection/>
    </xf>
    <xf numFmtId="166" fontId="49" fillId="7" borderId="29" xfId="33" applyNumberFormat="1" applyFont="1" applyFill="1" applyBorder="1" applyAlignment="1">
      <alignment horizontal="right" vertical="top" wrapText="1"/>
      <protection/>
    </xf>
    <xf numFmtId="0" fontId="14" fillId="0" borderId="50" xfId="15" applyFont="1" applyBorder="1" applyAlignment="1">
      <alignment vertical="top"/>
      <protection/>
    </xf>
    <xf numFmtId="166" fontId="49" fillId="7" borderId="18" xfId="33" applyNumberFormat="1" applyFont="1" applyFill="1" applyBorder="1" applyAlignment="1">
      <alignment horizontal="right" vertical="top" wrapText="1"/>
      <protection/>
    </xf>
    <xf numFmtId="2" fontId="14" fillId="0" borderId="69" xfId="15" applyNumberFormat="1" applyFont="1" applyBorder="1" applyAlignment="1">
      <alignment vertical="top"/>
      <protection/>
    </xf>
    <xf numFmtId="3" fontId="14" fillId="0" borderId="50" xfId="15" applyNumberFormat="1" applyFont="1" applyBorder="1" applyAlignment="1">
      <alignment vertical="top"/>
      <protection/>
    </xf>
    <xf numFmtId="3" fontId="14" fillId="0" borderId="17" xfId="15" applyNumberFormat="1" applyFont="1" applyBorder="1" applyAlignment="1">
      <alignment vertical="top"/>
      <protection/>
    </xf>
    <xf numFmtId="2" fontId="14" fillId="0" borderId="17" xfId="15" applyNumberFormat="1" applyFont="1" applyBorder="1" applyAlignment="1">
      <alignment vertical="top"/>
      <protection/>
    </xf>
    <xf numFmtId="2" fontId="4" fillId="0" borderId="82" xfId="15" applyNumberFormat="1" applyFont="1" applyBorder="1" applyAlignment="1">
      <alignment vertical="top"/>
      <protection/>
    </xf>
    <xf numFmtId="2" fontId="4" fillId="0" borderId="17" xfId="15" applyNumberFormat="1" applyFont="1" applyBorder="1" applyAlignment="1">
      <alignment vertical="top"/>
      <protection/>
    </xf>
    <xf numFmtId="1" fontId="4" fillId="0" borderId="50" xfId="15" applyNumberFormat="1" applyBorder="1">
      <alignment/>
      <protection/>
    </xf>
    <xf numFmtId="1" fontId="4" fillId="0" borderId="17" xfId="15" applyNumberFormat="1" applyBorder="1">
      <alignment/>
      <protection/>
    </xf>
    <xf numFmtId="166" fontId="49" fillId="7" borderId="17" xfId="33" applyNumberFormat="1" applyFont="1" applyFill="1" applyBorder="1" applyAlignment="1">
      <alignment horizontal="right" vertical="top" wrapText="1"/>
      <protection/>
    </xf>
    <xf numFmtId="2" fontId="4" fillId="0" borderId="83" xfId="15" applyNumberFormat="1" applyFont="1" applyBorder="1" applyAlignment="1">
      <alignment vertical="top"/>
      <protection/>
    </xf>
    <xf numFmtId="0" fontId="14" fillId="2" borderId="15" xfId="15" applyFont="1" applyFill="1" applyBorder="1">
      <alignment/>
      <protection/>
    </xf>
    <xf numFmtId="0" fontId="52" fillId="0" borderId="15" xfId="15" applyFont="1" applyBorder="1">
      <alignment/>
      <protection/>
    </xf>
    <xf numFmtId="1" fontId="14" fillId="0" borderId="50" xfId="15" applyNumberFormat="1" applyFont="1" applyBorder="1" applyAlignment="1">
      <alignment vertical="top"/>
      <protection/>
    </xf>
    <xf numFmtId="1" fontId="14" fillId="0" borderId="17" xfId="15" applyNumberFormat="1" applyFont="1" applyBorder="1" applyAlignment="1">
      <alignment vertical="top"/>
      <protection/>
    </xf>
    <xf numFmtId="2" fontId="4" fillId="0" borderId="84" xfId="15" applyNumberFormat="1" applyFont="1" applyBorder="1" applyAlignment="1">
      <alignment vertical="top"/>
      <protection/>
    </xf>
    <xf numFmtId="0" fontId="4" fillId="0" borderId="17" xfId="15" applyBorder="1" applyAlignment="1">
      <alignment horizontal="center" vertical="center" wrapText="1"/>
      <protection/>
    </xf>
    <xf numFmtId="0" fontId="4" fillId="0" borderId="85" xfId="15" applyFont="1" applyBorder="1">
      <alignment/>
      <protection/>
    </xf>
    <xf numFmtId="0" fontId="4" fillId="0" borderId="84" xfId="15" applyBorder="1">
      <alignment/>
      <protection/>
    </xf>
    <xf numFmtId="0" fontId="4" fillId="0" borderId="0" xfId="15" applyBorder="1">
      <alignment/>
      <protection/>
    </xf>
    <xf numFmtId="0" fontId="4" fillId="0" borderId="0" xfId="15" applyAlignment="1">
      <alignment horizontal="center"/>
      <protection/>
    </xf>
    <xf numFmtId="0" fontId="4" fillId="0" borderId="86" xfId="15" applyFont="1" applyBorder="1" applyAlignment="1">
      <alignment horizontal="center"/>
      <protection/>
    </xf>
    <xf numFmtId="0" fontId="4" fillId="0" borderId="87" xfId="15" applyFont="1" applyBorder="1">
      <alignment/>
      <protection/>
    </xf>
    <xf numFmtId="0" fontId="4" fillId="0" borderId="88" xfId="15" applyBorder="1" applyAlignment="1">
      <alignment horizontal="center"/>
      <protection/>
    </xf>
    <xf numFmtId="0" fontId="4" fillId="0" borderId="11" xfId="15" applyFont="1" applyBorder="1">
      <alignment/>
      <protection/>
    </xf>
    <xf numFmtId="0" fontId="4" fillId="0" borderId="89" xfId="15" applyBorder="1" applyAlignment="1">
      <alignment horizontal="center"/>
      <protection/>
    </xf>
    <xf numFmtId="0" fontId="4" fillId="0" borderId="15" xfId="15" applyFont="1" applyBorder="1">
      <alignment/>
      <protection/>
    </xf>
    <xf numFmtId="0" fontId="4" fillId="0" borderId="90" xfId="15" applyBorder="1" applyAlignment="1">
      <alignment horizontal="center"/>
      <protection/>
    </xf>
    <xf numFmtId="0" fontId="4" fillId="0" borderId="91" xfId="15" applyFont="1" applyBorder="1">
      <alignment/>
      <protection/>
    </xf>
    <xf numFmtId="0" fontId="4" fillId="8" borderId="0" xfId="15" applyFill="1" applyAlignment="1">
      <alignment horizontal="center"/>
      <protection/>
    </xf>
    <xf numFmtId="0" fontId="4" fillId="8" borderId="0" xfId="15" applyFill="1">
      <alignment/>
      <protection/>
    </xf>
    <xf numFmtId="0" fontId="4" fillId="0" borderId="0" xfId="15" applyAlignment="1">
      <alignment horizontal="right"/>
      <protection/>
    </xf>
    <xf numFmtId="0" fontId="85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86" fillId="0" borderId="0" xfId="15" applyFont="1">
      <alignment/>
      <protection/>
    </xf>
    <xf numFmtId="0" fontId="86" fillId="0" borderId="0" xfId="15" applyFont="1" applyAlignment="1">
      <alignment horizontal="left"/>
      <protection/>
    </xf>
    <xf numFmtId="0" fontId="87" fillId="0" borderId="0" xfId="17" applyNumberFormat="1" applyFont="1" applyFill="1" applyBorder="1" applyAlignment="1" applyProtection="1">
      <alignment horizontal="left"/>
      <protection/>
    </xf>
    <xf numFmtId="0" fontId="86" fillId="0" borderId="0" xfId="15" applyFont="1" applyAlignment="1">
      <alignment horizontal="center"/>
      <protection/>
    </xf>
    <xf numFmtId="0" fontId="86" fillId="0" borderId="0" xfId="17" applyNumberFormat="1" applyFont="1" applyFill="1" applyBorder="1" applyAlignment="1" applyProtection="1">
      <alignment horizontal="left"/>
      <protection/>
    </xf>
    <xf numFmtId="0" fontId="87" fillId="0" borderId="0" xfId="16" applyNumberFormat="1" applyFont="1" applyFill="1" applyBorder="1" applyAlignment="1" applyProtection="1">
      <alignment horizontal="left"/>
      <protection/>
    </xf>
    <xf numFmtId="0" fontId="85" fillId="0" borderId="0" xfId="15" applyFont="1" applyAlignment="1">
      <alignment horizontal="left"/>
      <protection/>
    </xf>
    <xf numFmtId="0" fontId="3" fillId="0" borderId="0" xfId="17" applyNumberFormat="1" applyFont="1" applyFill="1" applyBorder="1" applyAlignment="1" applyProtection="1">
      <alignment horizontal="left"/>
      <protection/>
    </xf>
    <xf numFmtId="0" fontId="85" fillId="0" borderId="0" xfId="15" applyFont="1" applyAlignment="1">
      <alignment horizontal="center"/>
      <protection/>
    </xf>
    <xf numFmtId="0" fontId="4" fillId="0" borderId="0" xfId="15" applyAlignment="1">
      <alignment/>
      <protection/>
    </xf>
    <xf numFmtId="0" fontId="88" fillId="8" borderId="69" xfId="15" applyFont="1" applyFill="1" applyBorder="1" applyAlignment="1">
      <alignment horizontal="center" vertical="top"/>
      <protection/>
    </xf>
    <xf numFmtId="0" fontId="88" fillId="8" borderId="17" xfId="15" applyFont="1" applyFill="1" applyBorder="1" applyAlignment="1">
      <alignment horizontal="center" vertical="top"/>
      <protection/>
    </xf>
    <xf numFmtId="3" fontId="88" fillId="0" borderId="69" xfId="15" applyNumberFormat="1" applyFont="1" applyBorder="1" applyAlignment="1">
      <alignment horizontal="center" vertical="center"/>
      <protection/>
    </xf>
    <xf numFmtId="1" fontId="88" fillId="0" borderId="17" xfId="15" applyNumberFormat="1" applyFont="1" applyBorder="1" applyAlignment="1">
      <alignment horizontal="center" vertical="center"/>
      <protection/>
    </xf>
    <xf numFmtId="10" fontId="88" fillId="0" borderId="17" xfId="15" applyNumberFormat="1" applyFont="1" applyBorder="1" applyAlignment="1">
      <alignment horizontal="center" vertical="center"/>
      <protection/>
    </xf>
    <xf numFmtId="3" fontId="88" fillId="0" borderId="17" xfId="15" applyNumberFormat="1" applyFont="1" applyBorder="1" applyAlignment="1">
      <alignment horizontal="center" vertical="center"/>
      <protection/>
    </xf>
    <xf numFmtId="4" fontId="88" fillId="0" borderId="69" xfId="15" applyNumberFormat="1" applyFont="1" applyBorder="1" applyAlignment="1">
      <alignment horizontal="center" vertical="center"/>
      <protection/>
    </xf>
    <xf numFmtId="2" fontId="88" fillId="0" borderId="17" xfId="15" applyNumberFormat="1" applyFont="1" applyBorder="1" applyAlignment="1">
      <alignment horizontal="center" vertical="center"/>
      <protection/>
    </xf>
    <xf numFmtId="4" fontId="88" fillId="0" borderId="17" xfId="15" applyNumberFormat="1" applyFont="1" applyBorder="1" applyAlignment="1">
      <alignment horizontal="center" vertical="center"/>
      <protection/>
    </xf>
    <xf numFmtId="0" fontId="86" fillId="0" borderId="0" xfId="15" applyFont="1" applyAlignment="1">
      <alignment horizontal="left" vertical="top"/>
      <protection/>
    </xf>
    <xf numFmtId="0" fontId="30" fillId="0" borderId="0" xfId="15" applyFont="1" applyAlignment="1">
      <alignment horizontal="left"/>
      <protection/>
    </xf>
    <xf numFmtId="0" fontId="30" fillId="0" borderId="0" xfId="15" applyFont="1" applyAlignment="1">
      <alignment horizontal="right"/>
      <protection/>
    </xf>
    <xf numFmtId="0" fontId="14" fillId="0" borderId="34" xfId="15" applyFont="1" applyBorder="1" applyAlignment="1">
      <alignment wrapText="1"/>
      <protection/>
    </xf>
    <xf numFmtId="0" fontId="14" fillId="0" borderId="3" xfId="15" applyFont="1" applyBorder="1" applyAlignment="1">
      <alignment wrapText="1"/>
      <protection/>
    </xf>
    <xf numFmtId="0" fontId="14" fillId="0" borderId="20" xfId="15" applyFont="1" applyBorder="1" applyAlignment="1">
      <alignment horizontal="center"/>
      <protection/>
    </xf>
    <xf numFmtId="0" fontId="49" fillId="0" borderId="5" xfId="15" applyFont="1" applyBorder="1" applyAlignment="1">
      <alignment horizontal="center"/>
      <protection/>
    </xf>
    <xf numFmtId="0" fontId="14" fillId="0" borderId="6" xfId="15" applyFont="1" applyBorder="1" applyAlignment="1">
      <alignment horizontal="center"/>
      <protection/>
    </xf>
    <xf numFmtId="0" fontId="14" fillId="0" borderId="19" xfId="15" applyFont="1" applyBorder="1" applyAlignment="1">
      <alignment horizontal="center"/>
      <protection/>
    </xf>
    <xf numFmtId="0" fontId="14" fillId="0" borderId="6" xfId="15" applyFont="1" applyFill="1" applyBorder="1" applyAlignment="1">
      <alignment horizontal="center"/>
      <protection/>
    </xf>
    <xf numFmtId="0" fontId="14" fillId="0" borderId="11" xfId="15" applyFont="1" applyBorder="1" applyAlignment="1">
      <alignment wrapText="1"/>
      <protection/>
    </xf>
    <xf numFmtId="0" fontId="14" fillId="0" borderId="92" xfId="15" applyFont="1" applyBorder="1">
      <alignment/>
      <protection/>
    </xf>
    <xf numFmtId="0" fontId="14" fillId="0" borderId="13" xfId="15" applyFont="1" applyBorder="1">
      <alignment/>
      <protection/>
    </xf>
    <xf numFmtId="0" fontId="14" fillId="0" borderId="14" xfId="15" applyFont="1" applyBorder="1" applyAlignment="1">
      <alignment horizontal="right"/>
      <protection/>
    </xf>
    <xf numFmtId="3" fontId="14" fillId="0" borderId="92" xfId="15" applyNumberFormat="1" applyFont="1" applyBorder="1">
      <alignment/>
      <protection/>
    </xf>
    <xf numFmtId="3" fontId="14" fillId="0" borderId="13" xfId="15" applyNumberFormat="1" applyFont="1" applyBorder="1">
      <alignment/>
      <protection/>
    </xf>
    <xf numFmtId="0" fontId="14" fillId="0" borderId="92" xfId="15" applyFont="1" applyFill="1" applyBorder="1">
      <alignment/>
      <protection/>
    </xf>
    <xf numFmtId="0" fontId="14" fillId="0" borderId="13" xfId="15" applyFont="1" applyFill="1" applyBorder="1">
      <alignment/>
      <protection/>
    </xf>
    <xf numFmtId="0" fontId="14" fillId="0" borderId="14" xfId="15" applyFont="1" applyFill="1" applyBorder="1" applyAlignment="1">
      <alignment horizontal="right"/>
      <protection/>
    </xf>
    <xf numFmtId="0" fontId="14" fillId="0" borderId="19" xfId="15" applyFont="1" applyBorder="1" applyAlignment="1">
      <alignment wrapText="1"/>
      <protection/>
    </xf>
    <xf numFmtId="0" fontId="14" fillId="0" borderId="20" xfId="15" applyFont="1" applyBorder="1">
      <alignment/>
      <protection/>
    </xf>
    <xf numFmtId="0" fontId="14" fillId="0" borderId="5" xfId="15" applyFont="1" applyBorder="1">
      <alignment/>
      <protection/>
    </xf>
    <xf numFmtId="0" fontId="14" fillId="0" borderId="6" xfId="15" applyFont="1" applyBorder="1" applyAlignment="1">
      <alignment horizontal="right"/>
      <protection/>
    </xf>
    <xf numFmtId="0" fontId="14" fillId="0" borderId="20" xfId="15" applyFont="1" applyFill="1" applyBorder="1">
      <alignment/>
      <protection/>
    </xf>
    <xf numFmtId="0" fontId="14" fillId="0" borderId="5" xfId="15" applyFont="1" applyFill="1" applyBorder="1">
      <alignment/>
      <protection/>
    </xf>
    <xf numFmtId="0" fontId="14" fillId="0" borderId="6" xfId="15" applyFont="1" applyFill="1" applyBorder="1" applyAlignment="1">
      <alignment horizontal="right"/>
      <protection/>
    </xf>
    <xf numFmtId="0" fontId="14" fillId="0" borderId="15" xfId="15" applyFont="1" applyBorder="1" applyAlignment="1">
      <alignment wrapText="1"/>
      <protection/>
    </xf>
    <xf numFmtId="0" fontId="14" fillId="0" borderId="50" xfId="15" applyFont="1" applyBorder="1">
      <alignment/>
      <protection/>
    </xf>
    <xf numFmtId="0" fontId="14" fillId="0" borderId="18" xfId="15" applyFont="1" applyBorder="1" applyAlignment="1">
      <alignment horizontal="right"/>
      <protection/>
    </xf>
    <xf numFmtId="3" fontId="14" fillId="0" borderId="50" xfId="15" applyNumberFormat="1" applyFont="1" applyBorder="1">
      <alignment/>
      <protection/>
    </xf>
    <xf numFmtId="3" fontId="14" fillId="0" borderId="17" xfId="15" applyNumberFormat="1" applyFont="1" applyBorder="1">
      <alignment/>
      <protection/>
    </xf>
    <xf numFmtId="0" fontId="14" fillId="0" borderId="50" xfId="15" applyFont="1" applyFill="1" applyBorder="1">
      <alignment/>
      <protection/>
    </xf>
    <xf numFmtId="0" fontId="14" fillId="0" borderId="17" xfId="15" applyFont="1" applyFill="1" applyBorder="1">
      <alignment/>
      <protection/>
    </xf>
    <xf numFmtId="0" fontId="14" fillId="0" borderId="18" xfId="15" applyFont="1" applyFill="1" applyBorder="1" applyAlignment="1">
      <alignment horizontal="right"/>
      <protection/>
    </xf>
    <xf numFmtId="3" fontId="14" fillId="0" borderId="20" xfId="15" applyNumberFormat="1" applyFont="1" applyBorder="1">
      <alignment/>
      <protection/>
    </xf>
    <xf numFmtId="3" fontId="14" fillId="0" borderId="5" xfId="15" applyNumberFormat="1" applyFont="1" applyBorder="1">
      <alignment/>
      <protection/>
    </xf>
    <xf numFmtId="0" fontId="14" fillId="0" borderId="11" xfId="15" applyFont="1" applyFill="1" applyBorder="1" applyAlignment="1">
      <alignment wrapText="1"/>
      <protection/>
    </xf>
    <xf numFmtId="3" fontId="14" fillId="0" borderId="92" xfId="15" applyNumberFormat="1" applyFont="1" applyFill="1" applyBorder="1">
      <alignment/>
      <protection/>
    </xf>
    <xf numFmtId="3" fontId="14" fillId="0" borderId="13" xfId="15" applyNumberFormat="1" applyFont="1" applyFill="1" applyBorder="1">
      <alignment/>
      <protection/>
    </xf>
    <xf numFmtId="0" fontId="14" fillId="0" borderId="7" xfId="15" applyFont="1" applyBorder="1" applyAlignment="1">
      <alignment wrapText="1"/>
      <protection/>
    </xf>
    <xf numFmtId="0" fontId="14" fillId="0" borderId="21" xfId="15" applyFont="1" applyBorder="1">
      <alignment/>
      <protection/>
    </xf>
    <xf numFmtId="0" fontId="14" fillId="0" borderId="9" xfId="15" applyFont="1" applyBorder="1">
      <alignment/>
      <protection/>
    </xf>
    <xf numFmtId="0" fontId="14" fillId="0" borderId="10" xfId="15" applyFont="1" applyBorder="1" applyAlignment="1">
      <alignment horizontal="right"/>
      <protection/>
    </xf>
    <xf numFmtId="3" fontId="14" fillId="0" borderId="21" xfId="15" applyNumberFormat="1" applyFont="1" applyBorder="1">
      <alignment/>
      <protection/>
    </xf>
    <xf numFmtId="3" fontId="14" fillId="0" borderId="9" xfId="15" applyNumberFormat="1" applyFont="1" applyBorder="1">
      <alignment/>
      <protection/>
    </xf>
    <xf numFmtId="0" fontId="14" fillId="0" borderId="21" xfId="15" applyFont="1" applyFill="1" applyBorder="1">
      <alignment/>
      <protection/>
    </xf>
    <xf numFmtId="0" fontId="14" fillId="0" borderId="9" xfId="15" applyFont="1" applyFill="1" applyBorder="1">
      <alignment/>
      <protection/>
    </xf>
    <xf numFmtId="0" fontId="14" fillId="0" borderId="10" xfId="15" applyFont="1" applyFill="1" applyBorder="1" applyAlignment="1">
      <alignment horizontal="right"/>
      <protection/>
    </xf>
    <xf numFmtId="0" fontId="14" fillId="0" borderId="15" xfId="15" applyFont="1" applyFill="1" applyBorder="1" applyAlignment="1">
      <alignment wrapText="1"/>
      <protection/>
    </xf>
    <xf numFmtId="3" fontId="14" fillId="0" borderId="50" xfId="15" applyNumberFormat="1" applyFont="1" applyFill="1" applyBorder="1">
      <alignment/>
      <protection/>
    </xf>
    <xf numFmtId="3" fontId="14" fillId="0" borderId="17" xfId="15" applyNumberFormat="1" applyFont="1" applyFill="1" applyBorder="1">
      <alignment/>
      <protection/>
    </xf>
    <xf numFmtId="0" fontId="49" fillId="0" borderId="7" xfId="15" applyFont="1" applyBorder="1" applyAlignment="1">
      <alignment wrapText="1"/>
      <protection/>
    </xf>
    <xf numFmtId="0" fontId="14" fillId="0" borderId="93" xfId="15" applyFont="1" applyBorder="1">
      <alignment/>
      <protection/>
    </xf>
    <xf numFmtId="0" fontId="14" fillId="0" borderId="94" xfId="15" applyFont="1" applyBorder="1">
      <alignment/>
      <protection/>
    </xf>
    <xf numFmtId="3" fontId="14" fillId="0" borderId="93" xfId="15" applyNumberFormat="1" applyFont="1" applyBorder="1">
      <alignment/>
      <protection/>
    </xf>
    <xf numFmtId="3" fontId="14" fillId="0" borderId="94" xfId="15" applyNumberFormat="1" applyFont="1" applyBorder="1">
      <alignment/>
      <protection/>
    </xf>
    <xf numFmtId="0" fontId="14" fillId="0" borderId="93" xfId="15" applyFont="1" applyFill="1" applyBorder="1">
      <alignment/>
      <protection/>
    </xf>
    <xf numFmtId="0" fontId="14" fillId="0" borderId="94" xfId="15" applyFont="1" applyFill="1" applyBorder="1">
      <alignment/>
      <protection/>
    </xf>
    <xf numFmtId="0" fontId="14" fillId="0" borderId="95" xfId="15" applyFont="1" applyBorder="1" applyAlignment="1">
      <alignment horizontal="right"/>
      <protection/>
    </xf>
    <xf numFmtId="0" fontId="14" fillId="0" borderId="95" xfId="15" applyFont="1" applyFill="1" applyBorder="1" applyAlignment="1">
      <alignment horizontal="right"/>
      <protection/>
    </xf>
    <xf numFmtId="0" fontId="14" fillId="0" borderId="44" xfId="15" applyFont="1" applyBorder="1" applyAlignment="1">
      <alignment wrapText="1"/>
      <protection/>
    </xf>
    <xf numFmtId="0" fontId="14" fillId="0" borderId="96" xfId="15" applyFont="1" applyBorder="1">
      <alignment/>
      <protection/>
    </xf>
    <xf numFmtId="0" fontId="14" fillId="0" borderId="97" xfId="15" applyFont="1" applyBorder="1">
      <alignment/>
      <protection/>
    </xf>
    <xf numFmtId="3" fontId="14" fillId="0" borderId="96" xfId="15" applyNumberFormat="1" applyFont="1" applyBorder="1">
      <alignment/>
      <protection/>
    </xf>
    <xf numFmtId="3" fontId="14" fillId="0" borderId="97" xfId="15" applyNumberFormat="1" applyFont="1" applyBorder="1">
      <alignment/>
      <protection/>
    </xf>
    <xf numFmtId="0" fontId="14" fillId="0" borderId="96" xfId="15" applyFont="1" applyFill="1" applyBorder="1">
      <alignment/>
      <protection/>
    </xf>
    <xf numFmtId="0" fontId="14" fillId="0" borderId="97" xfId="15" applyFont="1" applyFill="1" applyBorder="1">
      <alignment/>
      <protection/>
    </xf>
    <xf numFmtId="0" fontId="28" fillId="0" borderId="98" xfId="15" applyFont="1" applyBorder="1" applyAlignment="1">
      <alignment horizontal="center" vertical="top" wrapText="1"/>
      <protection/>
    </xf>
    <xf numFmtId="0" fontId="28" fillId="0" borderId="17" xfId="15" applyFont="1" applyBorder="1" applyAlignment="1">
      <alignment vertical="top" wrapText="1"/>
      <protection/>
    </xf>
    <xf numFmtId="0" fontId="28" fillId="0" borderId="26" xfId="15" applyFont="1" applyBorder="1" applyAlignment="1">
      <alignment vertical="top"/>
      <protection/>
    </xf>
    <xf numFmtId="0" fontId="28" fillId="0" borderId="99" xfId="15" applyFont="1" applyBorder="1" applyAlignment="1">
      <alignment vertical="top"/>
      <protection/>
    </xf>
    <xf numFmtId="0" fontId="28" fillId="0" borderId="32" xfId="15" applyFont="1" applyBorder="1" applyAlignment="1">
      <alignment vertical="top"/>
      <protection/>
    </xf>
    <xf numFmtId="0" fontId="28" fillId="0" borderId="33" xfId="15" applyFont="1" applyBorder="1" applyAlignment="1">
      <alignment vertical="top"/>
      <protection/>
    </xf>
    <xf numFmtId="166" fontId="30" fillId="7" borderId="100" xfId="33" applyNumberFormat="1" applyFont="1" applyFill="1" applyBorder="1" applyAlignment="1">
      <alignment horizontal="right" vertical="top" wrapText="1"/>
      <protection/>
    </xf>
    <xf numFmtId="168" fontId="30" fillId="9" borderId="100" xfId="33" applyNumberFormat="1" applyFont="1" applyFill="1" applyBorder="1" applyAlignment="1">
      <alignment horizontal="right" vertical="top" wrapText="1"/>
      <protection/>
    </xf>
    <xf numFmtId="166" fontId="28" fillId="0" borderId="17" xfId="15" applyNumberFormat="1" applyFont="1" applyBorder="1" applyAlignment="1">
      <alignment vertical="top"/>
      <protection/>
    </xf>
    <xf numFmtId="166" fontId="28" fillId="0" borderId="29" xfId="15" applyNumberFormat="1" applyFont="1" applyBorder="1" applyAlignment="1">
      <alignment vertical="top"/>
      <protection/>
    </xf>
    <xf numFmtId="166" fontId="30" fillId="7" borderId="29" xfId="33" applyNumberFormat="1" applyFont="1" applyFill="1" applyBorder="1" applyAlignment="1">
      <alignment horizontal="right" vertical="top" wrapText="1"/>
      <protection/>
    </xf>
    <xf numFmtId="168" fontId="30" fillId="9" borderId="29" xfId="33" applyNumberFormat="1" applyFont="1" applyFill="1" applyBorder="1" applyAlignment="1">
      <alignment horizontal="right" vertical="top" wrapText="1"/>
      <protection/>
    </xf>
    <xf numFmtId="168" fontId="30" fillId="9" borderId="33" xfId="33" applyNumberFormat="1" applyFont="1" applyFill="1" applyBorder="1" applyAlignment="1">
      <alignment horizontal="right" vertical="top" wrapText="1"/>
      <protection/>
    </xf>
    <xf numFmtId="166" fontId="30" fillId="7" borderId="33" xfId="33" applyNumberFormat="1" applyFont="1" applyFill="1" applyBorder="1" applyAlignment="1">
      <alignment horizontal="right" vertical="top" wrapText="1"/>
      <protection/>
    </xf>
    <xf numFmtId="168" fontId="30" fillId="9" borderId="17" xfId="33" applyNumberFormat="1" applyFont="1" applyFill="1" applyBorder="1" applyAlignment="1">
      <alignment horizontal="right" vertical="top" wrapText="1"/>
      <protection/>
    </xf>
    <xf numFmtId="166" fontId="30" fillId="7" borderId="101" xfId="33" applyNumberFormat="1" applyFont="1" applyFill="1" applyBorder="1" applyAlignment="1">
      <alignment horizontal="right" vertical="top" wrapText="1"/>
      <protection/>
    </xf>
    <xf numFmtId="0" fontId="5" fillId="0" borderId="0" xfId="15" applyFont="1" applyBorder="1" applyAlignment="1">
      <alignment horizontal="center"/>
      <protection/>
    </xf>
    <xf numFmtId="0" fontId="8" fillId="0" borderId="1" xfId="15" applyFont="1" applyBorder="1" applyAlignment="1">
      <alignment horizontal="center"/>
      <protection/>
    </xf>
    <xf numFmtId="0" fontId="5" fillId="0" borderId="1" xfId="15" applyFont="1" applyBorder="1" applyAlignment="1">
      <alignment horizontal="center"/>
      <protection/>
    </xf>
    <xf numFmtId="0" fontId="5" fillId="0" borderId="30" xfId="15" applyFont="1" applyFill="1" applyBorder="1" applyAlignment="1">
      <alignment horizontal="center"/>
      <protection/>
    </xf>
    <xf numFmtId="0" fontId="14" fillId="0" borderId="0" xfId="15" applyFont="1" applyBorder="1" applyAlignment="1">
      <alignment horizontal="center" wrapText="1"/>
      <protection/>
    </xf>
    <xf numFmtId="0" fontId="14" fillId="0" borderId="11" xfId="15" applyFont="1" applyBorder="1" applyAlignment="1">
      <alignment horizontal="center" vertical="center" wrapText="1"/>
      <protection/>
    </xf>
    <xf numFmtId="0" fontId="14" fillId="0" borderId="11" xfId="15" applyFont="1" applyFill="1" applyBorder="1" applyAlignment="1">
      <alignment horizontal="center" vertical="center" wrapText="1"/>
      <protection/>
    </xf>
    <xf numFmtId="0" fontId="15" fillId="0" borderId="0" xfId="15" applyFont="1" applyBorder="1" applyAlignment="1">
      <alignment horizontal="center"/>
      <protection/>
    </xf>
    <xf numFmtId="0" fontId="15" fillId="0" borderId="34" xfId="15" applyFont="1" applyBorder="1" applyAlignment="1">
      <alignment horizontal="center"/>
      <protection/>
    </xf>
    <xf numFmtId="0" fontId="19" fillId="2" borderId="102" xfId="15" applyFont="1" applyFill="1" applyBorder="1" applyAlignment="1">
      <alignment horizontal="center"/>
      <protection/>
    </xf>
    <xf numFmtId="0" fontId="4" fillId="2" borderId="103" xfId="15" applyFill="1" applyBorder="1" applyAlignment="1">
      <alignment horizontal="center"/>
      <protection/>
    </xf>
    <xf numFmtId="0" fontId="4" fillId="10" borderId="104" xfId="15" applyFill="1" applyBorder="1" applyAlignment="1">
      <alignment horizontal="center"/>
      <protection/>
    </xf>
    <xf numFmtId="0" fontId="4" fillId="2" borderId="105" xfId="15" applyFill="1" applyBorder="1" applyAlignment="1">
      <alignment horizontal="center"/>
      <protection/>
    </xf>
    <xf numFmtId="0" fontId="19" fillId="2" borderId="106" xfId="15" applyFont="1" applyFill="1" applyBorder="1" applyAlignment="1">
      <alignment horizontal="center"/>
      <protection/>
    </xf>
    <xf numFmtId="0" fontId="4" fillId="2" borderId="107" xfId="15" applyFill="1" applyBorder="1" applyAlignment="1">
      <alignment horizontal="center"/>
      <protection/>
    </xf>
    <xf numFmtId="0" fontId="4" fillId="2" borderId="41" xfId="15" applyFill="1" applyBorder="1" applyAlignment="1">
      <alignment horizontal="center"/>
      <protection/>
    </xf>
    <xf numFmtId="0" fontId="4" fillId="2" borderId="108" xfId="15" applyFill="1" applyBorder="1" applyAlignment="1">
      <alignment horizontal="center"/>
      <protection/>
    </xf>
    <xf numFmtId="0" fontId="4" fillId="2" borderId="109" xfId="15" applyFill="1" applyBorder="1" applyAlignment="1">
      <alignment horizontal="center"/>
      <protection/>
    </xf>
    <xf numFmtId="0" fontId="4" fillId="2" borderId="110" xfId="15" applyFill="1" applyBorder="1" applyAlignment="1">
      <alignment horizontal="center"/>
      <protection/>
    </xf>
    <xf numFmtId="0" fontId="4" fillId="10" borderId="111" xfId="15" applyFill="1" applyBorder="1" applyAlignment="1">
      <alignment horizontal="center"/>
      <protection/>
    </xf>
    <xf numFmtId="0" fontId="29" fillId="0" borderId="0" xfId="15" applyFont="1" applyBorder="1" applyAlignment="1">
      <alignment horizontal="center" vertical="top"/>
      <protection/>
    </xf>
    <xf numFmtId="0" fontId="28" fillId="0" borderId="36" xfId="15" applyFont="1" applyBorder="1" applyAlignment="1">
      <alignment horizontal="center" vertical="top" wrapText="1"/>
      <protection/>
    </xf>
    <xf numFmtId="0" fontId="28" fillId="0" borderId="11" xfId="15" applyFont="1" applyBorder="1" applyAlignment="1">
      <alignment horizontal="center" vertical="top" wrapText="1"/>
      <protection/>
    </xf>
    <xf numFmtId="0" fontId="28" fillId="0" borderId="11" xfId="15" applyFont="1" applyBorder="1" applyAlignment="1">
      <alignment horizontal="center" vertical="top"/>
      <protection/>
    </xf>
    <xf numFmtId="0" fontId="32" fillId="0" borderId="0" xfId="33" applyFont="1" applyBorder="1" applyAlignment="1">
      <alignment horizontal="center"/>
      <protection/>
    </xf>
    <xf numFmtId="0" fontId="32" fillId="0" borderId="112" xfId="33" applyFont="1" applyBorder="1" applyAlignment="1">
      <alignment horizontal="left" vertical="top" wrapText="1"/>
      <protection/>
    </xf>
    <xf numFmtId="0" fontId="16" fillId="0" borderId="112" xfId="33" applyFont="1" applyBorder="1" applyAlignment="1">
      <alignment horizontal="left" vertical="top" wrapText="1"/>
      <protection/>
    </xf>
    <xf numFmtId="0" fontId="16" fillId="0" borderId="68" xfId="33" applyFont="1" applyBorder="1" applyAlignment="1">
      <alignment horizontal="left" vertical="top" wrapText="1"/>
      <protection/>
    </xf>
    <xf numFmtId="10" fontId="16" fillId="7" borderId="17" xfId="33" applyNumberFormat="1" applyFont="1" applyFill="1" applyBorder="1" applyAlignment="1">
      <alignment horizontal="center" vertical="top" wrapText="1"/>
      <protection/>
    </xf>
    <xf numFmtId="0" fontId="16" fillId="7" borderId="17" xfId="33" applyNumberFormat="1" applyFont="1" applyFill="1" applyBorder="1" applyAlignment="1">
      <alignment horizontal="center" vertical="top" wrapText="1"/>
      <protection/>
    </xf>
    <xf numFmtId="10" fontId="16" fillId="7" borderId="72" xfId="33" applyNumberFormat="1" applyFont="1" applyFill="1" applyBorder="1" applyAlignment="1">
      <alignment horizontal="center" vertical="top" wrapText="1"/>
      <protection/>
    </xf>
    <xf numFmtId="0" fontId="32" fillId="0" borderId="113" xfId="33" applyFont="1" applyBorder="1" applyAlignment="1">
      <alignment horizontal="center"/>
      <protection/>
    </xf>
    <xf numFmtId="0" fontId="34" fillId="0" borderId="0" xfId="33" applyFont="1" applyBorder="1" applyAlignment="1">
      <alignment horizontal="center"/>
      <protection/>
    </xf>
    <xf numFmtId="0" fontId="34" fillId="0" borderId="114" xfId="33" applyFont="1" applyBorder="1" applyAlignment="1">
      <alignment horizontal="center"/>
      <protection/>
    </xf>
    <xf numFmtId="0" fontId="48" fillId="0" borderId="17" xfId="15" applyFont="1" applyBorder="1" applyAlignment="1">
      <alignment horizontal="center"/>
      <protection/>
    </xf>
    <xf numFmtId="0" fontId="14" fillId="0" borderId="17" xfId="15" applyFont="1" applyFill="1" applyBorder="1" applyAlignment="1">
      <alignment horizontal="center"/>
      <protection/>
    </xf>
    <xf numFmtId="0" fontId="14" fillId="0" borderId="17" xfId="15" applyFont="1" applyBorder="1" applyAlignment="1">
      <alignment horizontal="center"/>
      <protection/>
    </xf>
    <xf numFmtId="0" fontId="14" fillId="0" borderId="83" xfId="15" applyFont="1" applyBorder="1" applyAlignment="1">
      <alignment horizontal="center" vertical="top" wrapText="1"/>
      <protection/>
    </xf>
    <xf numFmtId="0" fontId="14" fillId="0" borderId="15" xfId="15" applyFont="1" applyBorder="1" applyAlignment="1">
      <alignment horizontal="center" vertical="top" wrapText="1"/>
      <protection/>
    </xf>
    <xf numFmtId="0" fontId="14" fillId="0" borderId="83" xfId="15" applyFont="1" applyBorder="1" applyAlignment="1">
      <alignment horizontal="center" vertical="top"/>
      <protection/>
    </xf>
    <xf numFmtId="0" fontId="14" fillId="0" borderId="15" xfId="15" applyFont="1" applyBorder="1" applyAlignment="1">
      <alignment horizontal="center" vertical="top"/>
      <protection/>
    </xf>
    <xf numFmtId="0" fontId="4" fillId="0" borderId="15" xfId="15" applyFont="1" applyBorder="1" applyAlignment="1">
      <alignment horizontal="center"/>
      <protection/>
    </xf>
    <xf numFmtId="0" fontId="4" fillId="0" borderId="50" xfId="15" applyFont="1" applyBorder="1" applyAlignment="1">
      <alignment horizontal="center" wrapText="1"/>
      <protection/>
    </xf>
    <xf numFmtId="0" fontId="4" fillId="0" borderId="0" xfId="15" applyFont="1" applyBorder="1" applyAlignment="1">
      <alignment horizontal="center"/>
      <protection/>
    </xf>
    <xf numFmtId="0" fontId="4" fillId="0" borderId="115" xfId="15" applyFont="1" applyBorder="1" applyAlignment="1">
      <alignment horizontal="center"/>
      <protection/>
    </xf>
    <xf numFmtId="0" fontId="4" fillId="0" borderId="116" xfId="15" applyBorder="1" applyAlignment="1">
      <alignment horizontal="center"/>
      <protection/>
    </xf>
    <xf numFmtId="0" fontId="4" fillId="0" borderId="117" xfId="15" applyBorder="1" applyAlignment="1">
      <alignment horizontal="center"/>
      <protection/>
    </xf>
    <xf numFmtId="3" fontId="4" fillId="0" borderId="118" xfId="15" applyNumberFormat="1" applyBorder="1" applyAlignment="1">
      <alignment horizontal="center"/>
      <protection/>
    </xf>
    <xf numFmtId="0" fontId="15" fillId="0" borderId="0" xfId="15" applyFont="1" applyBorder="1" applyAlignment="1">
      <alignment horizontal="left"/>
      <protection/>
    </xf>
    <xf numFmtId="0" fontId="86" fillId="0" borderId="0" xfId="15" applyFont="1" applyBorder="1" applyAlignment="1">
      <alignment horizontal="center"/>
      <protection/>
    </xf>
    <xf numFmtId="0" fontId="88" fillId="0" borderId="0" xfId="15" applyFont="1" applyBorder="1" applyAlignment="1">
      <alignment horizontal="center"/>
      <protection/>
    </xf>
    <xf numFmtId="0" fontId="88" fillId="8" borderId="17" xfId="15" applyFont="1" applyFill="1" applyBorder="1" applyAlignment="1">
      <alignment horizontal="left" vertical="top"/>
      <protection/>
    </xf>
    <xf numFmtId="0" fontId="86" fillId="0" borderId="17" xfId="15" applyFont="1" applyBorder="1" applyAlignment="1">
      <alignment horizontal="left" vertical="top"/>
      <protection/>
    </xf>
    <xf numFmtId="0" fontId="88" fillId="8" borderId="17" xfId="15" applyFont="1" applyFill="1" applyBorder="1" applyAlignment="1">
      <alignment horizontal="center"/>
      <protection/>
    </xf>
    <xf numFmtId="0" fontId="86" fillId="0" borderId="17" xfId="15" applyFont="1" applyBorder="1" applyAlignment="1">
      <alignment horizontal="left" vertical="top" wrapText="1"/>
      <protection/>
    </xf>
    <xf numFmtId="0" fontId="30" fillId="0" borderId="0" xfId="15" applyFont="1" applyBorder="1" applyAlignment="1">
      <alignment horizontal="left"/>
      <protection/>
    </xf>
    <xf numFmtId="0" fontId="30" fillId="0" borderId="0" xfId="15" applyFont="1" applyBorder="1" applyAlignment="1">
      <alignment horizontal="right"/>
      <protection/>
    </xf>
    <xf numFmtId="0" fontId="14" fillId="0" borderId="34" xfId="15" applyFont="1" applyBorder="1" applyAlignment="1">
      <alignment horizontal="center"/>
      <protection/>
    </xf>
    <xf numFmtId="0" fontId="14" fillId="0" borderId="34" xfId="15" applyFont="1" applyFill="1" applyBorder="1" applyAlignment="1">
      <alignment horizontal="center"/>
      <protection/>
    </xf>
    <xf numFmtId="0" fontId="28" fillId="0" borderId="12" xfId="15" applyFont="1" applyBorder="1" applyAlignment="1">
      <alignment horizontal="center" vertical="top" wrapText="1"/>
      <protection/>
    </xf>
    <xf numFmtId="0" fontId="15" fillId="11" borderId="7" xfId="15" applyFont="1" applyFill="1" applyBorder="1">
      <alignment/>
      <protection/>
    </xf>
    <xf numFmtId="0" fontId="15" fillId="11" borderId="8" xfId="15" applyFont="1" applyFill="1" applyBorder="1">
      <alignment/>
      <protection/>
    </xf>
    <xf numFmtId="0" fontId="15" fillId="11" borderId="9" xfId="15" applyFont="1" applyFill="1" applyBorder="1">
      <alignment/>
      <protection/>
    </xf>
    <xf numFmtId="0" fontId="15" fillId="11" borderId="10" xfId="15" applyFont="1" applyFill="1" applyBorder="1" applyAlignment="1">
      <alignment horizontal="right"/>
      <protection/>
    </xf>
    <xf numFmtId="0" fontId="5" fillId="12" borderId="15" xfId="15" applyFont="1" applyFill="1" applyBorder="1">
      <alignment/>
      <protection/>
    </xf>
    <xf numFmtId="0" fontId="11" fillId="12" borderId="16" xfId="15" applyFont="1" applyFill="1" applyBorder="1">
      <alignment/>
      <protection/>
    </xf>
    <xf numFmtId="0" fontId="11" fillId="12" borderId="17" xfId="15" applyFont="1" applyFill="1" applyBorder="1">
      <alignment/>
      <protection/>
    </xf>
    <xf numFmtId="0" fontId="12" fillId="12" borderId="18" xfId="15" applyFont="1" applyFill="1" applyBorder="1" applyAlignment="1">
      <alignment horizontal="right"/>
      <protection/>
    </xf>
    <xf numFmtId="0" fontId="5" fillId="12" borderId="0" xfId="15" applyFont="1" applyFill="1">
      <alignment/>
      <protection/>
    </xf>
    <xf numFmtId="1" fontId="15" fillId="11" borderId="8" xfId="15" applyNumberFormat="1" applyFont="1" applyFill="1" applyBorder="1">
      <alignment/>
      <protection/>
    </xf>
    <xf numFmtId="1" fontId="15" fillId="11" borderId="9" xfId="15" applyNumberFormat="1" applyFont="1" applyFill="1" applyBorder="1">
      <alignment/>
      <protection/>
    </xf>
    <xf numFmtId="3" fontId="15" fillId="11" borderId="10" xfId="15" applyNumberFormat="1" applyFont="1" applyFill="1" applyBorder="1" applyAlignment="1">
      <alignment horizontal="right"/>
      <protection/>
    </xf>
    <xf numFmtId="0" fontId="15" fillId="11" borderId="0" xfId="15" applyFont="1" applyFill="1">
      <alignment/>
      <protection/>
    </xf>
    <xf numFmtId="0" fontId="28" fillId="13" borderId="15" xfId="15" applyFont="1" applyFill="1" applyBorder="1" applyAlignment="1">
      <alignment vertical="top"/>
      <protection/>
    </xf>
    <xf numFmtId="0" fontId="28" fillId="13" borderId="50" xfId="15" applyFont="1" applyFill="1" applyBorder="1" applyAlignment="1">
      <alignment vertical="top"/>
      <protection/>
    </xf>
    <xf numFmtId="0" fontId="28" fillId="13" borderId="17" xfId="15" applyFont="1" applyFill="1" applyBorder="1" applyAlignment="1">
      <alignment vertical="top"/>
      <protection/>
    </xf>
    <xf numFmtId="166" fontId="30" fillId="14" borderId="18" xfId="33" applyNumberFormat="1" applyFont="1" applyFill="1" applyBorder="1" applyAlignment="1">
      <alignment horizontal="right" vertical="top" wrapText="1"/>
      <protection/>
    </xf>
    <xf numFmtId="3" fontId="28" fillId="13" borderId="50" xfId="15" applyNumberFormat="1" applyFont="1" applyFill="1" applyBorder="1" applyAlignment="1">
      <alignment vertical="top"/>
      <protection/>
    </xf>
    <xf numFmtId="3" fontId="28" fillId="13" borderId="17" xfId="15" applyNumberFormat="1" applyFont="1" applyFill="1" applyBorder="1" applyAlignment="1">
      <alignment vertical="top"/>
      <protection/>
    </xf>
    <xf numFmtId="2" fontId="28" fillId="13" borderId="50" xfId="15" applyNumberFormat="1" applyFont="1" applyFill="1" applyBorder="1" applyAlignment="1">
      <alignment vertical="top"/>
      <protection/>
    </xf>
    <xf numFmtId="2" fontId="28" fillId="13" borderId="17" xfId="15" applyNumberFormat="1" applyFont="1" applyFill="1" applyBorder="1" applyAlignment="1">
      <alignment vertical="top"/>
      <protection/>
    </xf>
    <xf numFmtId="0" fontId="28" fillId="13" borderId="0" xfId="15" applyFont="1" applyFill="1" applyAlignment="1">
      <alignment vertical="top"/>
      <protection/>
    </xf>
    <xf numFmtId="1" fontId="20" fillId="11" borderId="0" xfId="15" applyNumberFormat="1" applyFont="1" applyFill="1" applyBorder="1">
      <alignment/>
      <protection/>
    </xf>
    <xf numFmtId="0" fontId="20" fillId="11" borderId="0" xfId="15" applyFont="1" applyFill="1" applyBorder="1" applyAlignment="1">
      <alignment vertical="center"/>
      <protection/>
    </xf>
    <xf numFmtId="0" fontId="37" fillId="11" borderId="0" xfId="15" applyFont="1" applyFill="1" applyBorder="1" applyAlignment="1">
      <alignment horizontal="center" vertical="center"/>
      <protection/>
    </xf>
    <xf numFmtId="0" fontId="4" fillId="11" borderId="0" xfId="15" applyFill="1">
      <alignment/>
      <protection/>
    </xf>
    <xf numFmtId="0" fontId="12" fillId="11" borderId="10" xfId="15" applyFont="1" applyFill="1" applyBorder="1" applyAlignment="1">
      <alignment horizontal="right"/>
      <protection/>
    </xf>
    <xf numFmtId="1" fontId="4" fillId="11" borderId="0" xfId="15" applyNumberFormat="1" applyFill="1">
      <alignment/>
      <protection/>
    </xf>
    <xf numFmtId="0" fontId="4" fillId="11" borderId="0" xfId="15" applyFont="1" applyFill="1" applyAlignment="1">
      <alignment horizontal="center"/>
      <protection/>
    </xf>
    <xf numFmtId="1" fontId="28" fillId="11" borderId="0" xfId="15" applyNumberFormat="1" applyFont="1" applyFill="1">
      <alignment/>
      <protection/>
    </xf>
    <xf numFmtId="0" fontId="4" fillId="11" borderId="0" xfId="15" applyFill="1" applyAlignment="1">
      <alignment horizontal="right"/>
      <protection/>
    </xf>
    <xf numFmtId="166" fontId="30" fillId="14" borderId="29" xfId="33" applyNumberFormat="1" applyFont="1" applyFill="1" applyBorder="1" applyAlignment="1">
      <alignment horizontal="right" vertical="top" wrapText="1"/>
      <protection/>
    </xf>
    <xf numFmtId="168" fontId="30" fillId="15" borderId="29" xfId="33" applyNumberFormat="1" applyFont="1" applyFill="1" applyBorder="1" applyAlignment="1">
      <alignment horizontal="right" vertical="top" wrapText="1"/>
      <protection/>
    </xf>
    <xf numFmtId="166" fontId="28" fillId="13" borderId="17" xfId="15" applyNumberFormat="1" applyFont="1" applyFill="1" applyBorder="1" applyAlignment="1">
      <alignment vertical="top"/>
      <protection/>
    </xf>
    <xf numFmtId="166" fontId="28" fillId="13" borderId="29" xfId="15" applyNumberFormat="1" applyFont="1" applyFill="1" applyBorder="1" applyAlignment="1">
      <alignment vertical="top"/>
      <protection/>
    </xf>
  </cellXfs>
  <cellStyles count="23">
    <cellStyle name="Normal" xfId="0"/>
    <cellStyle name="Excel Built-in Normal" xfId="15"/>
    <cellStyle name="Hyperlink" xfId="16"/>
    <cellStyle name="Гиперссылка_ПРИВОЛЖСКФЕДОКРУГ_АВТОМАТ 12-2008" xfId="17"/>
    <cellStyle name="Currency" xfId="18"/>
    <cellStyle name="Currency [0]" xfId="19"/>
    <cellStyle name="Обычный 10" xfId="20"/>
    <cellStyle name="Обычный 11" xfId="21"/>
    <cellStyle name="Обычный 12" xfId="22"/>
    <cellStyle name="Обычный 13" xfId="23"/>
    <cellStyle name="Обычный 14" xfId="24"/>
    <cellStyle name="Обычный 2" xfId="25"/>
    <cellStyle name="Обычный 3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в блокнот 0310 12 мес" xfId="33"/>
    <cellStyle name="Percent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D0808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200"/>
      <rgbColor rgb="00F2F2F2"/>
      <rgbColor rgb="00800080"/>
      <rgbColor rgb="00800000"/>
      <rgbColor rgb="00008080"/>
      <rgbColor rgb="000000FF"/>
      <rgbColor rgb="0000B0F0"/>
      <rgbColor rgb="00DBEEF4"/>
      <rgbColor rgb="00CCFFCC"/>
      <rgbColor rgb="00FFFF99"/>
      <rgbColor rgb="0099CCFF"/>
      <rgbColor rgb="00E6B9B8"/>
      <rgbColor rgb="00CC99FF"/>
      <rgbColor rgb="00FFCC99"/>
      <rgbColor rgb="003366FF"/>
      <rgbColor rgb="00B9CDE5"/>
      <rgbColor rgb="009BBB59"/>
      <rgbColor rgb="00FCD5B5"/>
      <rgbColor rgb="00D9D9D9"/>
      <rgbColor rgb="00FFC0FF"/>
      <rgbColor rgb="004F81BD"/>
      <rgbColor rgb="00878787"/>
      <rgbColor rgb="00003366"/>
      <rgbColor rgb="00558ED5"/>
      <rgbColor rgb="00003300"/>
      <rgbColor rgb="00333300"/>
      <rgbColor rgb="00C0504D"/>
      <rgbColor rgb="00953735"/>
      <rgbColor rgb="001C40F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;</c:separator>
          </c:dLbls>
          <c:cat>
            <c:strRef>
              <c:f>Население!$H$11:$H$13</c:f>
              <c:strCache/>
            </c:strRef>
          </c:cat>
          <c:val>
            <c:numRef>
              <c:f>Население!$I$11:$I$13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;</c:separator>
          </c:dLbls>
          <c:cat>
            <c:strRef>
              <c:f>Население!$H$11:$H$13</c:f>
              <c:strCache/>
            </c:strRef>
          </c:cat>
          <c:val>
            <c:numRef>
              <c:f>Население!$J$11:$J$13</c:f>
              <c:numCache/>
            </c:numRef>
          </c:val>
        </c:ser>
      </c:pie3DChart>
      <c:spPr>
        <a:solidFill>
          <a:srgbClr val="D9D9D9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ln w="12700">
      <a:solidFill>
        <a:srgbClr val="878787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ГРАФИКИ!$P$259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(ГРАФИКИ!$O$260,ГРАФИКИ!$O$265,ГРАФИКИ!$O$277,ГРАФИКИ!$O$279,ГРАФИКИ!$O$287,ГРАФИКИ!$O$291,ГРАФИКИ!$O$297,ГРАФИКИ!$O$303,ГРАФИКИ!$O$305)</c:f>
              <c:strCache/>
            </c:strRef>
          </c:cat>
          <c:val>
            <c:numRef>
              <c:f>(ГРАФИКИ!$P$260,ГРАФИКИ!$P$265,ГРАФИКИ!$P$277,ГРАФИКИ!$P$279,ГРАФИКИ!$P$287,ГРАФИКИ!$P$291,ГРАФИКИ!$P$297,ГРАФИКИ!$P$303,ГРАФИКИ!$P$305)</c:f>
              <c:numCache/>
            </c:numRef>
          </c:val>
        </c:ser>
        <c:ser>
          <c:idx val="1"/>
          <c:order val="1"/>
          <c:tx>
            <c:strRef>
              <c:f>ГРАФИКИ!$Q$259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(ГРАФИКИ!$O$260,ГРАФИКИ!$O$265,ГРАФИКИ!$O$277,ГРАФИКИ!$O$279,ГРАФИКИ!$O$287,ГРАФИКИ!$O$291,ГРАФИКИ!$O$297,ГРАФИКИ!$O$303,ГРАФИКИ!$O$305)</c:f>
              <c:strCache/>
            </c:strRef>
          </c:cat>
          <c:val>
            <c:numRef>
              <c:f>(ГРАФИКИ!$Q$260,ГРАФИКИ!$Q$265,ГРАФИКИ!$Q$277,ГРАФИКИ!$Q$279,ГРАФИКИ!$Q$287,ГРАФИКИ!$Q$291,ГРАФИКИ!$Q$297,ГРАФИКИ!$Q$303,ГРАФИКИ!$Q$305)</c:f>
              <c:numCache/>
            </c:numRef>
          </c:val>
        </c:ser>
        <c:axId val="19996556"/>
        <c:axId val="45751277"/>
      </c:bar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5751277"/>
        <c:crossesAt val="0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9996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ГРАФИКИ!$V$368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953735"/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ГРАФИКИ!$O$369:$O$394</c:f>
              <c:strCache/>
            </c:strRef>
          </c:cat>
          <c:val>
            <c:numRef>
              <c:f>ГРАФИКИ!$V$369:$V$394</c:f>
              <c:numCache/>
            </c:numRef>
          </c:val>
        </c:ser>
        <c:axId val="9108310"/>
        <c:axId val="14865927"/>
      </c:barChart>
      <c:catAx>
        <c:axId val="9108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865927"/>
        <c:crossesAt val="0"/>
        <c:auto val="1"/>
        <c:lblOffset val="100"/>
        <c:noMultiLvlLbl val="0"/>
      </c:catAx>
      <c:valAx>
        <c:axId val="14865927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9108310"/>
        <c:crossesAt val="1"/>
        <c:crossBetween val="between"/>
        <c:dispUnits/>
        <c:majorUnit val="0.67000000000001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ГРАФИКИ!$AH$368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953735"/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ГРАФИКИ!$O$369:$O$394</c:f>
              <c:strCache/>
            </c:strRef>
          </c:cat>
          <c:val>
            <c:numRef>
              <c:f>ГРАФИКИ!$AH$369:$AH$394</c:f>
              <c:numCache/>
            </c:numRef>
          </c:val>
        </c:ser>
        <c:axId val="66684480"/>
        <c:axId val="63289409"/>
      </c:barChart>
      <c:catAx>
        <c:axId val="66684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9409"/>
        <c:crossesAt val="0"/>
        <c:auto val="1"/>
        <c:lblOffset val="100"/>
        <c:noMultiLvlLbl val="0"/>
      </c:catAx>
      <c:valAx>
        <c:axId val="6328940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6684480"/>
        <c:crossesAt val="1"/>
        <c:crossBetween val="between"/>
        <c:dispUnits/>
        <c:majorUnit val="0.3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ГРАФИКИ!$AN$368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953735"/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ГРАФИКИ!$O$369:$O$394</c:f>
              <c:strCache/>
            </c:strRef>
          </c:cat>
          <c:val>
            <c:numRef>
              <c:f>ГРАФИКИ!$AN$369:$AN$394</c:f>
              <c:numCache/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168475"/>
        <c:crossesAt val="0"/>
        <c:auto val="1"/>
        <c:lblOffset val="100"/>
        <c:noMultiLvlLbl val="0"/>
      </c:catAx>
      <c:valAx>
        <c:axId val="2616847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32733770"/>
        <c:crossesAt val="1"/>
        <c:crossBetween val="between"/>
        <c:dispUnits/>
        <c:majorUnit val="0.13"/>
        <c:minorUnit val="0.0216666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ГРАФИКИ!$P$397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ГРАФИКИ!$O$398:$O$422</c:f>
              <c:strCache/>
            </c:strRef>
          </c:cat>
          <c:val>
            <c:numRef>
              <c:f>ГРАФИКИ!$P$398:$P$422</c:f>
              <c:numCache/>
            </c:numRef>
          </c:val>
        </c:ser>
        <c:ser>
          <c:idx val="1"/>
          <c:order val="1"/>
          <c:tx>
            <c:strRef>
              <c:f>ГРАФИКИ!$Q$397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ГРАФИКИ!$O$398:$O$422</c:f>
              <c:strCache/>
            </c:strRef>
          </c:cat>
          <c:val>
            <c:numRef>
              <c:f>ГРАФИКИ!$Q$398:$Q$422</c:f>
              <c:numCache/>
            </c:numRef>
          </c:val>
        </c:ser>
        <c:axId val="34189684"/>
        <c:axId val="39271701"/>
      </c:bar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71701"/>
        <c:crossesAt val="0"/>
        <c:auto val="1"/>
        <c:lblOffset val="100"/>
        <c:noMultiLvlLbl val="0"/>
      </c:catAx>
      <c:valAx>
        <c:axId val="39271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8968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ГРАФИКИ!$Q$146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ГРАФИКИ!$O$147</c:f>
              <c:strCache/>
            </c:strRef>
          </c:cat>
          <c:val>
            <c:numRef>
              <c:f>ГРАФИКИ!$Q$147</c:f>
              <c:numCache/>
            </c:numRef>
          </c:val>
        </c:ser>
        <c:ser>
          <c:idx val="1"/>
          <c:order val="1"/>
          <c:tx>
            <c:strRef>
              <c:f>ГРАФИКИ!$P$146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1C40F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ГРАФИКИ!$O$147</c:f>
              <c:strCache/>
            </c:strRef>
          </c:cat>
          <c:val>
            <c:numRef>
              <c:f>ГРАФИКИ!$P$147</c:f>
              <c:numCache/>
            </c:numRef>
          </c:val>
        </c:ser>
        <c:overlap val="-1"/>
        <c:gapWidth val="500"/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At val="0"/>
        <c:auto val="1"/>
        <c:lblOffset val="100"/>
        <c:noMultiLvlLbl val="0"/>
      </c:catAx>
      <c:valAx>
        <c:axId val="2689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0099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ГРАФИКИ!$Q$146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ГРАФИКИ!$O$147</c:f>
              <c:strCache/>
            </c:strRef>
          </c:cat>
          <c:val>
            <c:numRef>
              <c:f>ГРАФИКИ!$Q$148</c:f>
              <c:numCache/>
            </c:numRef>
          </c:val>
        </c:ser>
        <c:ser>
          <c:idx val="1"/>
          <c:order val="1"/>
          <c:tx>
            <c:strRef>
              <c:f>ГРАФИКИ!$P$146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1C40F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ГРАФИКИ!$O$147</c:f>
              <c:strCache/>
            </c:strRef>
          </c:cat>
          <c:val>
            <c:numRef>
              <c:f>ГРАФИКИ!$P$148</c:f>
              <c:numCache/>
            </c:numRef>
          </c:val>
        </c:ser>
        <c:overlap val="-1"/>
        <c:gapWidth val="500"/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At val="0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ГРАФИКИ!$Q$146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ГРАФИКИ!$O$149</c:f>
              <c:strCache/>
            </c:strRef>
          </c:cat>
          <c:val>
            <c:numRef>
              <c:f>ГРАФИКИ!$Q$149</c:f>
              <c:numCache/>
            </c:numRef>
          </c:val>
        </c:ser>
        <c:ser>
          <c:idx val="1"/>
          <c:order val="1"/>
          <c:tx>
            <c:strRef>
              <c:f>ГРАФИКИ!$P$146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1C40F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ГРАФИКИ!$O$149</c:f>
              <c:strCache/>
            </c:strRef>
          </c:cat>
          <c:val>
            <c:numRef>
              <c:f>ГРАФИКИ!$P$149</c:f>
              <c:numCache/>
            </c:numRef>
          </c:val>
        </c:ser>
        <c:overlap val="-1"/>
        <c:gapWidth val="500"/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9027"/>
        <c:crossesAt val="0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8421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ГРАФИКИ!$Q$146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ГРАФИКИ!$O$150</c:f>
              <c:strCache/>
            </c:strRef>
          </c:cat>
          <c:val>
            <c:numRef>
              <c:f>ГРАФИКИ!$Q$150</c:f>
              <c:numCache/>
            </c:numRef>
          </c:val>
        </c:ser>
        <c:ser>
          <c:idx val="1"/>
          <c:order val="1"/>
          <c:tx>
            <c:strRef>
              <c:f>ГРАФИКИ!$P$146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1C40F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ГРАФИКИ!$O$150</c:f>
              <c:strCache/>
            </c:strRef>
          </c:cat>
          <c:val>
            <c:numRef>
              <c:f>ГРАФИКИ!$P$150</c:f>
              <c:numCache/>
            </c:numRef>
          </c:val>
        </c:ser>
        <c:overlap val="-1"/>
        <c:gapWidth val="500"/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At val="0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Динамика обстановки с пожарами 
по Чувашской Республике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100000">
                  <a:srgbClr val="4D080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ГРАФИКИ!$A$431:$G$431</c:f>
              <c:strCache/>
            </c:strRef>
          </c:cat>
          <c:val>
            <c:numRef>
              <c:f>ГРАФИКИ!$A$432:$G$432</c:f>
              <c:numCache/>
            </c:numRef>
          </c:val>
        </c:ser>
        <c:axId val="54477350"/>
        <c:axId val="20534103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ГРАФИКИ!$A$431:$G$431</c:f>
              <c:strCache/>
            </c:strRef>
          </c:cat>
          <c:val>
            <c:numRef>
              <c:f>ГРАФИКИ!$A$433:$G$433</c:f>
              <c:numCache/>
            </c:numRef>
          </c:val>
          <c:smooth val="0"/>
        </c:ser>
        <c:axId val="50589200"/>
        <c:axId val="52649617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4103"/>
        <c:crossesAt val="0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350"/>
        <c:crossesAt val="1"/>
        <c:crossBetween val="between"/>
        <c:dispUnits/>
      </c:valAx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9617"/>
        <c:crossesAt val="0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92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ГРАФИКИ!$Q$146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ГРАФИКИ!$O$147:$O$150</c:f>
              <c:strCache/>
            </c:strRef>
          </c:cat>
          <c:val>
            <c:numRef>
              <c:f>ГРАФИКИ!$Q$147:$Q$151</c:f>
              <c:numCache/>
            </c:numRef>
          </c:val>
        </c:ser>
        <c:ser>
          <c:idx val="1"/>
          <c:order val="1"/>
          <c:tx>
            <c:strRef>
              <c:f>ГРАФИКИ!$P$146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1C40F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C40F4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1C40F4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1C40F4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1C40F4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1C40F4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ГРАФИКИ!$O$147:$O$150</c:f>
              <c:strCache/>
            </c:strRef>
          </c:cat>
          <c:val>
            <c:numRef>
              <c:f>ГРАФИКИ!$P$147:$P$151</c:f>
              <c:numCache/>
            </c:numRef>
          </c:val>
        </c:ser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97105"/>
        <c:crossesAt val="0"/>
        <c:auto val="1"/>
        <c:lblOffset val="100"/>
        <c:noMultiLvlLbl val="0"/>
      </c:catAx>
      <c:valAx>
        <c:axId val="4499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ГРАФИКИ!$A$460</c:f>
              <c:strCache>
                <c:ptCount val="1"/>
                <c:pt idx="0">
                  <c:v>кол-во пожаров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ГРАФИКИ!$B$459:$F$459</c:f>
              <c:strCache/>
            </c:strRef>
          </c:cat>
          <c:val>
            <c:numRef>
              <c:f>ГРАФИКИ!$B$460:$F$460</c:f>
              <c:numCache/>
            </c:numRef>
          </c:val>
        </c:ser>
        <c:ser>
          <c:idx val="1"/>
          <c:order val="1"/>
          <c:tx>
            <c:strRef>
              <c:f>ГРАФИКИ!$A$461</c:f>
              <c:strCache>
                <c:ptCount val="1"/>
                <c:pt idx="0">
                  <c:v>гибель люжей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ГРАФИКИ!$B$459:$F$459</c:f>
              <c:strCache/>
            </c:strRef>
          </c:cat>
          <c:val>
            <c:numRef>
              <c:f>ГРАФИКИ!$B$461:$F$461</c:f>
              <c:numCache/>
            </c:numRef>
          </c:val>
        </c:ser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0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45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ГРАФИКИ!$O$22:$O$27</c:f>
              <c:strCache/>
            </c:strRef>
          </c:cat>
          <c:val>
            <c:numRef>
              <c:f>ГРАФИКИ!$P$22:$P$27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ГРАФИКИ!$O$22:$O$27</c:f>
              <c:strCache/>
            </c:strRef>
          </c:cat>
          <c:val>
            <c:numRef>
              <c:f>ГРАФИКИ!$Q$22:$Q$27</c:f>
              <c:numCache/>
            </c:numRef>
          </c:val>
        </c:ser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4949"/>
        <c:crossesAt val="1"/>
        <c:auto val="1"/>
        <c:lblOffset val="100"/>
        <c:noMultiLvlLbl val="0"/>
      </c:catAx>
      <c:valAx>
        <c:axId val="24814949"/>
        <c:scaling>
          <c:logBase val="10"/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ГРАФИКИ!$P$36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ГРАФИКИ!$O$37:$O$42</c:f>
              <c:strCache/>
            </c:strRef>
          </c:cat>
          <c:val>
            <c:numRef>
              <c:f>ГРАФИКИ!$P$37:$P$42</c:f>
              <c:numCache/>
            </c:numRef>
          </c:val>
        </c:ser>
        <c:ser>
          <c:idx val="1"/>
          <c:order val="1"/>
          <c:tx>
            <c:strRef>
              <c:f>ГРАФИКИ!$Q$36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ГРАФИКИ!$O$37:$O$42</c:f>
              <c:strCache/>
            </c:strRef>
          </c:cat>
          <c:val>
            <c:numRef>
              <c:f>ГРАФИКИ!$Q$37:$Q$42</c:f>
              <c:numCache/>
            </c:numRef>
          </c:val>
        </c:ser>
        <c:axId val="22007950"/>
        <c:axId val="63853823"/>
      </c:bar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At val="1"/>
        <c:auto val="1"/>
        <c:lblOffset val="100"/>
        <c:noMultiLvlLbl val="0"/>
      </c:catAx>
      <c:valAx>
        <c:axId val="63853823"/>
        <c:scaling>
          <c:logBase val="10"/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;</c:separator>
          </c:dLbls>
          <c:cat>
            <c:strRef>
              <c:f>ГРАФИКИ!$O$2:$O$6</c:f>
              <c:strCache/>
            </c:strRef>
          </c:cat>
          <c:val>
            <c:numRef>
              <c:f>ГРАФИКИ!$P$2:$P$6</c:f>
              <c:numCache/>
            </c:numRef>
          </c:val>
        </c:ser>
        <c:firstSliceAng val="200"/>
      </c:pie3DChart>
      <c:spPr>
        <a:solidFill>
          <a:srgbClr val="D9D9D9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5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E6B9B8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B9CDE5"/>
              </a:solidFill>
              <a:ln w="3175">
                <a:solid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;</c:separator>
          </c:dLbls>
          <c:cat>
            <c:strRef>
              <c:f>ГРАФИКИ!$O$10:$O$14</c:f>
              <c:strCache/>
            </c:strRef>
          </c:cat>
          <c:val>
            <c:numRef>
              <c:f>ГРАФИКИ!$P$10:$P$14</c:f>
              <c:numCache/>
            </c:numRef>
          </c:val>
        </c:ser>
        <c:firstSliceAng val="150"/>
      </c:pie3DChart>
      <c:spPr>
        <a:solidFill>
          <a:srgbClr val="D9D9D9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Основные причины пожаров за 11 месяцев 2004-2005г.г.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ГРАФИКИ!$P$1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ГРАФИКИ!$O$2:$O$6</c:f>
              <c:strCache/>
            </c:strRef>
          </c:cat>
          <c:val>
            <c:numRef>
              <c:f>ГРАФИКИ!$P$2:$P$6</c:f>
              <c:numCache/>
            </c:numRef>
          </c:val>
          <c:shape val="box"/>
        </c:ser>
        <c:ser>
          <c:idx val="1"/>
          <c:order val="1"/>
          <c:tx>
            <c:strRef>
              <c:f>ГРАФИКИ!$Q$1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ГРАФИКИ!$O$2:$O$6</c:f>
              <c:strCache/>
            </c:strRef>
          </c:cat>
          <c:val>
            <c:numRef>
              <c:f>ГРАФИКИ!$Q$2:$Q$6</c:f>
              <c:numCache/>
            </c:numRef>
          </c:val>
          <c:shape val="box"/>
        </c:ser>
        <c:shape val="box"/>
        <c:axId val="2320762"/>
        <c:axId val="20886859"/>
      </c:bar3DChart>
      <c:catAx>
        <c:axId val="232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86859"/>
        <c:crossesAt val="0"/>
        <c:auto val="1"/>
        <c:lblOffset val="100"/>
        <c:noMultiLvlLbl val="0"/>
      </c:catAx>
      <c:valAx>
        <c:axId val="20886859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2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12700">
          <a:solidFill/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пожаров по основным объектам  за 11 месяцев 2004-2005г.г.      </a:t>
            </a:r>
          </a:p>
        </c:rich>
      </c:tx>
      <c:layout/>
      <c:spPr>
        <a:noFill/>
        <a:ln>
          <a:noFill/>
        </a:ln>
      </c:spPr>
    </c:title>
    <c:view3D>
      <c:rotX val="17"/>
      <c:rotY val="29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ГРАФИКИ!$P$1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ГРАФИКИ!$O$10:$O$15</c:f>
              <c:strCache/>
            </c:strRef>
          </c:cat>
          <c:val>
            <c:numRef>
              <c:f>ГРАФИКИ!$P$10:$P$15</c:f>
              <c:numCache/>
            </c:numRef>
          </c:val>
          <c:shape val="box"/>
        </c:ser>
        <c:ser>
          <c:idx val="1"/>
          <c:order val="1"/>
          <c:tx>
            <c:strRef>
              <c:f>ГРАФИКИ!$Q$1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dPt>
            <c:idx val="4"/>
            <c:invertIfNegative val="0"/>
            <c:spPr>
              <a:solidFill>
                <a:srgbClr val="993366"/>
              </a:solidFill>
            </c:spPr>
          </c:dPt>
          <c:dPt>
            <c:idx val="5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ГРАФИКИ!$O$10:$O$15</c:f>
              <c:strCache/>
            </c:strRef>
          </c:cat>
          <c:val>
            <c:numRef>
              <c:f>ГРАФИКИ!$Q$10:$Q$15</c:f>
              <c:numCache/>
            </c:numRef>
          </c:val>
          <c:shape val="box"/>
        </c:ser>
        <c:shape val="box"/>
        <c:axId val="53764004"/>
        <c:axId val="14113989"/>
      </c:bar3DChart>
      <c:catAx>
        <c:axId val="53764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113989"/>
        <c:crossesAt val="0"/>
        <c:auto val="1"/>
        <c:lblOffset val="100"/>
        <c:noMultiLvlLbl val="0"/>
      </c:catAx>
      <c:valAx>
        <c:axId val="14113989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76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12700">
          <a:solidFill/>
        </a:ln>
      </c:spP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ГРАФИКИ!$P$159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BEEF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15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19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Pt>
            <c:idx val="21"/>
            <c:invertIfNegative val="0"/>
            <c:spPr>
              <a:solidFill>
                <a:srgbClr val="DBEEF4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ГРАФИКИ!$O$160:$O$184</c:f>
              <c:strCache/>
            </c:strRef>
          </c:cat>
          <c:val>
            <c:numRef>
              <c:f>ГРАФИКИ!$P$160:$P$184</c:f>
              <c:numCache/>
            </c:numRef>
          </c:val>
        </c:ser>
        <c:ser>
          <c:idx val="1"/>
          <c:order val="1"/>
          <c:tx>
            <c:strRef>
              <c:f>ГРАФИКИ!$Q$159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53735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14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16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17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18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Pt>
            <c:idx val="22"/>
            <c:invertIfNegative val="0"/>
            <c:spPr>
              <a:solidFill>
                <a:srgbClr val="953735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ГРАФИКИ!$O$160:$O$184</c:f>
              <c:strCache/>
            </c:strRef>
          </c:cat>
          <c:val>
            <c:numRef>
              <c:f>ГРАФИКИ!$Q$160:$Q$184</c:f>
              <c:numCache/>
            </c:numRef>
          </c:val>
        </c:ser>
        <c:gapWidth val="34"/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2431"/>
        <c:crossesAt val="0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1703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ГРАФИКИ!$P$188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ГРАФИКИ!$O$189:$O$213</c:f>
              <c:strCache/>
            </c:strRef>
          </c:cat>
          <c:val>
            <c:numRef>
              <c:f>ГРАФИКИ!$P$189:$P$213</c:f>
              <c:numCache/>
            </c:numRef>
          </c:val>
        </c:ser>
        <c:ser>
          <c:idx val="1"/>
          <c:order val="1"/>
          <c:tx>
            <c:strRef>
              <c:f>ГРАФИКИ!$Q$188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53735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ГРАФИКИ!$O$189:$O$213</c:f>
              <c:strCache/>
            </c:strRef>
          </c:cat>
          <c:val>
            <c:numRef>
              <c:f>ГРАФИКИ!$Q$189:$Q$213</c:f>
              <c:numCache/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9193"/>
        <c:crossesAt val="0"/>
        <c:auto val="1"/>
        <c:lblOffset val="100"/>
        <c:noMultiLvlLbl val="0"/>
      </c:catAx>
      <c:valAx>
        <c:axId val="58759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4188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ГРАФИКИ!$P$217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ГРАФИКИ!$O$218:$O$242</c:f>
              <c:strCache/>
            </c:strRef>
          </c:cat>
          <c:val>
            <c:numRef>
              <c:f>ГРАФИКИ!$P$218:$P$242</c:f>
              <c:numCache/>
            </c:numRef>
          </c:val>
        </c:ser>
        <c:ser>
          <c:idx val="1"/>
          <c:order val="1"/>
          <c:tx>
            <c:strRef>
              <c:f>ГРАФИКИ!$Q$217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53735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ГРАФИКИ!$O$218:$O$242</c:f>
              <c:strCache/>
            </c:strRef>
          </c:cat>
          <c:val>
            <c:numRef>
              <c:f>ГРАФИКИ!$Q$218:$Q$242</c:f>
              <c:numCache/>
            </c:numRef>
          </c:val>
        </c:ser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74163"/>
        <c:crossesAt val="0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7069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15</xdr:row>
      <xdr:rowOff>47625</xdr:rowOff>
    </xdr:from>
    <xdr:to>
      <xdr:col>4</xdr:col>
      <xdr:colOff>133350</xdr:colOff>
      <xdr:row>24</xdr:row>
      <xdr:rowOff>57150</xdr:rowOff>
    </xdr:to>
    <xdr:sp>
      <xdr:nvSpPr>
        <xdr:cNvPr id="1" name="Oval 18"/>
        <xdr:cNvSpPr>
          <a:spLocks/>
        </xdr:cNvSpPr>
      </xdr:nvSpPr>
      <xdr:spPr>
        <a:xfrm>
          <a:off x="2676525" y="2590800"/>
          <a:ext cx="1571625" cy="1466850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5724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36720" tIns="27360" rIns="36720" bIns="273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Отправить Grig1 и Grig2 на проспект Мира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26</xdr:row>
      <xdr:rowOff>9525</xdr:rowOff>
    </xdr:from>
    <xdr:to>
      <xdr:col>10</xdr:col>
      <xdr:colOff>1133475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3676650" y="7372350"/>
        <a:ext cx="80391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0.3735</cdr:x>
      <cdr:y>0.62175</cdr:y>
    </cdr:from>
    <cdr:to>
      <cdr:x>0.384</cdr:x>
      <cdr:y>0.6645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2905125"/>
          <a:ext cx="857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</cdr:x>
      <cdr:y>0.69225</cdr:y>
    </cdr:from>
    <cdr:to>
      <cdr:x>0.30125</cdr:x>
      <cdr:y>0.73475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3257550"/>
          <a:ext cx="857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113</xdr:row>
      <xdr:rowOff>123825</xdr:rowOff>
    </xdr:from>
    <xdr:to>
      <xdr:col>11</xdr:col>
      <xdr:colOff>28575</xdr:colOff>
      <xdr:row>144</xdr:row>
      <xdr:rowOff>142875</xdr:rowOff>
    </xdr:to>
    <xdr:graphicFrame>
      <xdr:nvGraphicFramePr>
        <xdr:cNvPr id="1" name="Chart 1"/>
        <xdr:cNvGraphicFramePr/>
      </xdr:nvGraphicFramePr>
      <xdr:xfrm>
        <a:off x="476250" y="19107150"/>
        <a:ext cx="65341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12</xdr:col>
      <xdr:colOff>552450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28575" y="0"/>
        <a:ext cx="80867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28575</xdr:rowOff>
    </xdr:from>
    <xdr:to>
      <xdr:col>12</xdr:col>
      <xdr:colOff>28575</xdr:colOff>
      <xdr:row>56</xdr:row>
      <xdr:rowOff>38100</xdr:rowOff>
    </xdr:to>
    <xdr:graphicFrame>
      <xdr:nvGraphicFramePr>
        <xdr:cNvPr id="3" name="Chart 3"/>
        <xdr:cNvGraphicFramePr/>
      </xdr:nvGraphicFramePr>
      <xdr:xfrm>
        <a:off x="28575" y="5048250"/>
        <a:ext cx="756285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55</xdr:row>
      <xdr:rowOff>38100</xdr:rowOff>
    </xdr:from>
    <xdr:to>
      <xdr:col>13</xdr:col>
      <xdr:colOff>9525</xdr:colOff>
      <xdr:row>78</xdr:row>
      <xdr:rowOff>9525</xdr:rowOff>
    </xdr:to>
    <xdr:graphicFrame>
      <xdr:nvGraphicFramePr>
        <xdr:cNvPr id="4" name="Chart 4"/>
        <xdr:cNvGraphicFramePr/>
      </xdr:nvGraphicFramePr>
      <xdr:xfrm>
        <a:off x="28575" y="9601200"/>
        <a:ext cx="81248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79</xdr:row>
      <xdr:rowOff>76200</xdr:rowOff>
    </xdr:from>
    <xdr:to>
      <xdr:col>13</xdr:col>
      <xdr:colOff>47625</xdr:colOff>
      <xdr:row>100</xdr:row>
      <xdr:rowOff>123825</xdr:rowOff>
    </xdr:to>
    <xdr:graphicFrame>
      <xdr:nvGraphicFramePr>
        <xdr:cNvPr id="5" name="Chart 5"/>
        <xdr:cNvGraphicFramePr/>
      </xdr:nvGraphicFramePr>
      <xdr:xfrm>
        <a:off x="66675" y="13525500"/>
        <a:ext cx="8124825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150</xdr:row>
      <xdr:rowOff>152400</xdr:rowOff>
    </xdr:from>
    <xdr:to>
      <xdr:col>13</xdr:col>
      <xdr:colOff>133350</xdr:colOff>
      <xdr:row>173</xdr:row>
      <xdr:rowOff>47625</xdr:rowOff>
    </xdr:to>
    <xdr:graphicFrame>
      <xdr:nvGraphicFramePr>
        <xdr:cNvPr id="6" name="Chart 6"/>
        <xdr:cNvGraphicFramePr/>
      </xdr:nvGraphicFramePr>
      <xdr:xfrm>
        <a:off x="47625" y="25241250"/>
        <a:ext cx="82296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174</xdr:row>
      <xdr:rowOff>114300</xdr:rowOff>
    </xdr:from>
    <xdr:to>
      <xdr:col>13</xdr:col>
      <xdr:colOff>495300</xdr:colOff>
      <xdr:row>197</xdr:row>
      <xdr:rowOff>123825</xdr:rowOff>
    </xdr:to>
    <xdr:graphicFrame>
      <xdr:nvGraphicFramePr>
        <xdr:cNvPr id="7" name="Chart 7"/>
        <xdr:cNvGraphicFramePr/>
      </xdr:nvGraphicFramePr>
      <xdr:xfrm>
        <a:off x="57150" y="29260800"/>
        <a:ext cx="858202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198</xdr:row>
      <xdr:rowOff>152400</xdr:rowOff>
    </xdr:from>
    <xdr:to>
      <xdr:col>13</xdr:col>
      <xdr:colOff>485775</xdr:colOff>
      <xdr:row>221</xdr:row>
      <xdr:rowOff>114300</xdr:rowOff>
    </xdr:to>
    <xdr:graphicFrame>
      <xdr:nvGraphicFramePr>
        <xdr:cNvPr id="8" name="Chart 8"/>
        <xdr:cNvGraphicFramePr/>
      </xdr:nvGraphicFramePr>
      <xdr:xfrm>
        <a:off x="47625" y="33185100"/>
        <a:ext cx="8582025" cy="3695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223</xdr:row>
      <xdr:rowOff>9525</xdr:rowOff>
    </xdr:from>
    <xdr:to>
      <xdr:col>8</xdr:col>
      <xdr:colOff>476250</xdr:colOff>
      <xdr:row>240</xdr:row>
      <xdr:rowOff>133350</xdr:rowOff>
    </xdr:to>
    <xdr:graphicFrame>
      <xdr:nvGraphicFramePr>
        <xdr:cNvPr id="9" name="Chart 9"/>
        <xdr:cNvGraphicFramePr/>
      </xdr:nvGraphicFramePr>
      <xdr:xfrm>
        <a:off x="47625" y="37099875"/>
        <a:ext cx="5667375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260</xdr:row>
      <xdr:rowOff>85725</xdr:rowOff>
    </xdr:from>
    <xdr:to>
      <xdr:col>10</xdr:col>
      <xdr:colOff>361950</xdr:colOff>
      <xdr:row>294</xdr:row>
      <xdr:rowOff>66675</xdr:rowOff>
    </xdr:to>
    <xdr:graphicFrame>
      <xdr:nvGraphicFramePr>
        <xdr:cNvPr id="10" name="Chart 10"/>
        <xdr:cNvGraphicFramePr/>
      </xdr:nvGraphicFramePr>
      <xdr:xfrm>
        <a:off x="38100" y="43176825"/>
        <a:ext cx="6724650" cy="5562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295</xdr:row>
      <xdr:rowOff>38100</xdr:rowOff>
    </xdr:from>
    <xdr:to>
      <xdr:col>10</xdr:col>
      <xdr:colOff>409575</xdr:colOff>
      <xdr:row>329</xdr:row>
      <xdr:rowOff>152400</xdr:rowOff>
    </xdr:to>
    <xdr:graphicFrame>
      <xdr:nvGraphicFramePr>
        <xdr:cNvPr id="11" name="Chart 11"/>
        <xdr:cNvGraphicFramePr/>
      </xdr:nvGraphicFramePr>
      <xdr:xfrm>
        <a:off x="57150" y="48872775"/>
        <a:ext cx="6753225" cy="562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28575</xdr:colOff>
      <xdr:row>330</xdr:row>
      <xdr:rowOff>133350</xdr:rowOff>
    </xdr:from>
    <xdr:to>
      <xdr:col>10</xdr:col>
      <xdr:colOff>381000</xdr:colOff>
      <xdr:row>363</xdr:row>
      <xdr:rowOff>114300</xdr:rowOff>
    </xdr:to>
    <xdr:graphicFrame>
      <xdr:nvGraphicFramePr>
        <xdr:cNvPr id="12" name="Chart 12"/>
        <xdr:cNvGraphicFramePr/>
      </xdr:nvGraphicFramePr>
      <xdr:xfrm>
        <a:off x="28575" y="54644925"/>
        <a:ext cx="6753225" cy="5334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</xdr:colOff>
      <xdr:row>241</xdr:row>
      <xdr:rowOff>133350</xdr:rowOff>
    </xdr:from>
    <xdr:to>
      <xdr:col>11</xdr:col>
      <xdr:colOff>295275</xdr:colOff>
      <xdr:row>259</xdr:row>
      <xdr:rowOff>123825</xdr:rowOff>
    </xdr:to>
    <xdr:graphicFrame>
      <xdr:nvGraphicFramePr>
        <xdr:cNvPr id="13" name="Chart 13"/>
        <xdr:cNvGraphicFramePr/>
      </xdr:nvGraphicFramePr>
      <xdr:xfrm>
        <a:off x="38100" y="40138350"/>
        <a:ext cx="7239000" cy="2914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2009775</xdr:colOff>
      <xdr:row>127</xdr:row>
      <xdr:rowOff>9525</xdr:rowOff>
    </xdr:from>
    <xdr:to>
      <xdr:col>14</xdr:col>
      <xdr:colOff>2600325</xdr:colOff>
      <xdr:row>129</xdr:row>
      <xdr:rowOff>142875</xdr:rowOff>
    </xdr:to>
    <xdr:grpSp>
      <xdr:nvGrpSpPr>
        <xdr:cNvPr id="14" name="Group 885"/>
        <xdr:cNvGrpSpPr>
          <a:grpSpLocks/>
        </xdr:cNvGrpSpPr>
      </xdr:nvGrpSpPr>
      <xdr:grpSpPr>
        <a:xfrm>
          <a:off x="10734675" y="21259800"/>
          <a:ext cx="590550" cy="457200"/>
          <a:chOff x="17776" y="33681"/>
          <a:chExt cx="974" cy="718"/>
        </a:xfrm>
        <a:solidFill>
          <a:srgbClr val="FFFFFF"/>
        </a:solidFill>
      </xdr:grpSpPr>
      <xdr:sp>
        <xdr:nvSpPr>
          <xdr:cNvPr id="15" name="AutoShape 886"/>
          <xdr:cNvSpPr>
            <a:spLocks/>
          </xdr:cNvSpPr>
        </xdr:nvSpPr>
        <xdr:spPr>
          <a:xfrm rot="21180000">
            <a:off x="17923" y="33723"/>
            <a:ext cx="678" cy="178"/>
          </a:xfrm>
          <a:prstGeom prst="curvedDownArrow">
            <a:avLst>
              <a:gd name="adj1" fmla="val -50000"/>
              <a:gd name="adj2" fmla="val -50000"/>
              <a:gd name="adj3" fmla="val -50000"/>
            </a:avLst>
          </a:prstGeom>
          <a:solidFill>
            <a:srgbClr val="FFFF00"/>
          </a:solidFill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887"/>
          <xdr:cNvSpPr>
            <a:spLocks/>
          </xdr:cNvSpPr>
        </xdr:nvSpPr>
        <xdr:spPr>
          <a:xfrm>
            <a:off x="17776" y="33995"/>
            <a:ext cx="974" cy="404"/>
          </a:xfrm>
          <a:prstGeom prst="round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+40%
</a:t>
            </a:r>
          </a:p>
        </xdr:txBody>
      </xdr:sp>
    </xdr:grpSp>
    <xdr:clientData/>
  </xdr:twoCellAnchor>
  <xdr:twoCellAnchor>
    <xdr:from>
      <xdr:col>14</xdr:col>
      <xdr:colOff>809625</xdr:colOff>
      <xdr:row>127</xdr:row>
      <xdr:rowOff>76200</xdr:rowOff>
    </xdr:from>
    <xdr:to>
      <xdr:col>14</xdr:col>
      <xdr:colOff>1400175</xdr:colOff>
      <xdr:row>130</xdr:row>
      <xdr:rowOff>28575</xdr:rowOff>
    </xdr:to>
    <xdr:grpSp>
      <xdr:nvGrpSpPr>
        <xdr:cNvPr id="17" name="Group 882"/>
        <xdr:cNvGrpSpPr>
          <a:grpSpLocks/>
        </xdr:cNvGrpSpPr>
      </xdr:nvGrpSpPr>
      <xdr:grpSpPr>
        <a:xfrm>
          <a:off x="9534525" y="21326475"/>
          <a:ext cx="590550" cy="438150"/>
          <a:chOff x="15782" y="33783"/>
          <a:chExt cx="974" cy="691"/>
        </a:xfrm>
        <a:solidFill>
          <a:srgbClr val="FFFFFF"/>
        </a:solidFill>
      </xdr:grpSpPr>
      <xdr:sp>
        <xdr:nvSpPr>
          <xdr:cNvPr id="18" name="AutoShape 883"/>
          <xdr:cNvSpPr>
            <a:spLocks/>
          </xdr:cNvSpPr>
        </xdr:nvSpPr>
        <xdr:spPr>
          <a:xfrm>
            <a:off x="15936" y="33783"/>
            <a:ext cx="661" cy="193"/>
          </a:xfrm>
          <a:prstGeom prst="curvedDownArrow">
            <a:avLst>
              <a:gd name="adj1" fmla="val -50000"/>
              <a:gd name="adj2" fmla="val -50000"/>
              <a:gd name="adj3" fmla="val -50000"/>
            </a:avLst>
          </a:prstGeom>
          <a:solidFill>
            <a:srgbClr val="FFFF00"/>
          </a:solidFill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884"/>
          <xdr:cNvSpPr>
            <a:spLocks/>
          </xdr:cNvSpPr>
        </xdr:nvSpPr>
        <xdr:spPr>
          <a:xfrm>
            <a:off x="15782" y="34039"/>
            <a:ext cx="974" cy="436"/>
          </a:xfrm>
          <a:prstGeom prst="round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15,7
</a:t>
            </a:r>
          </a:p>
        </xdr:txBody>
      </xdr:sp>
    </xdr:grpSp>
    <xdr:clientData/>
  </xdr:twoCellAnchor>
  <xdr:twoCellAnchor>
    <xdr:from>
      <xdr:col>15</xdr:col>
      <xdr:colOff>285750</xdr:colOff>
      <xdr:row>127</xdr:row>
      <xdr:rowOff>19050</xdr:rowOff>
    </xdr:from>
    <xdr:to>
      <xdr:col>16</xdr:col>
      <xdr:colOff>161925</xdr:colOff>
      <xdr:row>129</xdr:row>
      <xdr:rowOff>161925</xdr:rowOff>
    </xdr:to>
    <xdr:grpSp>
      <xdr:nvGrpSpPr>
        <xdr:cNvPr id="20" name="Group 885"/>
        <xdr:cNvGrpSpPr>
          <a:grpSpLocks/>
        </xdr:cNvGrpSpPr>
      </xdr:nvGrpSpPr>
      <xdr:grpSpPr>
        <a:xfrm>
          <a:off x="12106275" y="21269325"/>
          <a:ext cx="628650" cy="466725"/>
          <a:chOff x="20049" y="33693"/>
          <a:chExt cx="1038" cy="737"/>
        </a:xfrm>
        <a:solidFill>
          <a:srgbClr val="FFFFFF"/>
        </a:solidFill>
      </xdr:grpSpPr>
      <xdr:sp>
        <xdr:nvSpPr>
          <xdr:cNvPr id="21" name="AutoShape 886"/>
          <xdr:cNvSpPr>
            <a:spLocks/>
          </xdr:cNvSpPr>
        </xdr:nvSpPr>
        <xdr:spPr>
          <a:xfrm rot="21180000">
            <a:off x="20206" y="33738"/>
            <a:ext cx="723" cy="182"/>
          </a:xfrm>
          <a:prstGeom prst="curvedDownArrow">
            <a:avLst>
              <a:gd name="adj1" fmla="val -50000"/>
              <a:gd name="adj2" fmla="val -50000"/>
              <a:gd name="adj3" fmla="val -50000"/>
            </a:avLst>
          </a:prstGeom>
          <a:solidFill>
            <a:srgbClr val="FFFF00"/>
          </a:solidFill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887"/>
          <xdr:cNvSpPr>
            <a:spLocks/>
          </xdr:cNvSpPr>
        </xdr:nvSpPr>
        <xdr:spPr>
          <a:xfrm>
            <a:off x="20049" y="34010"/>
            <a:ext cx="1038" cy="420"/>
          </a:xfrm>
          <a:prstGeom prst="round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+54,9%
</a:t>
            </a:r>
          </a:p>
        </xdr:txBody>
      </xdr:sp>
    </xdr:grpSp>
    <xdr:clientData/>
  </xdr:twoCellAnchor>
  <xdr:twoCellAnchor>
    <xdr:from>
      <xdr:col>17</xdr:col>
      <xdr:colOff>85725</xdr:colOff>
      <xdr:row>128</xdr:row>
      <xdr:rowOff>57150</xdr:rowOff>
    </xdr:from>
    <xdr:to>
      <xdr:col>18</xdr:col>
      <xdr:colOff>228600</xdr:colOff>
      <xdr:row>131</xdr:row>
      <xdr:rowOff>57150</xdr:rowOff>
    </xdr:to>
    <xdr:grpSp>
      <xdr:nvGrpSpPr>
        <xdr:cNvPr id="23" name="Group 885"/>
        <xdr:cNvGrpSpPr>
          <a:grpSpLocks/>
        </xdr:cNvGrpSpPr>
      </xdr:nvGrpSpPr>
      <xdr:grpSpPr>
        <a:xfrm>
          <a:off x="13392150" y="21469350"/>
          <a:ext cx="600075" cy="485775"/>
          <a:chOff x="22187" y="34012"/>
          <a:chExt cx="998" cy="764"/>
        </a:xfrm>
        <a:solidFill>
          <a:srgbClr val="FFFFFF"/>
        </a:solidFill>
      </xdr:grpSpPr>
      <xdr:sp>
        <xdr:nvSpPr>
          <xdr:cNvPr id="24" name="AutoShape 886"/>
          <xdr:cNvSpPr>
            <a:spLocks/>
          </xdr:cNvSpPr>
        </xdr:nvSpPr>
        <xdr:spPr>
          <a:xfrm rot="21180000">
            <a:off x="22338" y="34056"/>
            <a:ext cx="695" cy="190"/>
          </a:xfrm>
          <a:prstGeom prst="curvedDownArrow">
            <a:avLst>
              <a:gd name="adj1" fmla="val -50000"/>
              <a:gd name="adj2" fmla="val -50000"/>
              <a:gd name="adj3" fmla="val -50000"/>
            </a:avLst>
          </a:prstGeom>
          <a:solidFill>
            <a:srgbClr val="FFFF00"/>
          </a:solidFill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887"/>
          <xdr:cNvSpPr>
            <a:spLocks/>
          </xdr:cNvSpPr>
        </xdr:nvSpPr>
        <xdr:spPr>
          <a:xfrm>
            <a:off x="22187" y="34326"/>
            <a:ext cx="998" cy="450"/>
          </a:xfrm>
          <a:prstGeom prst="round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+27,2%
</a:t>
            </a:r>
          </a:p>
        </xdr:txBody>
      </xdr:sp>
    </xdr:grpSp>
    <xdr:clientData/>
  </xdr:twoCellAnchor>
  <xdr:twoCellAnchor>
    <xdr:from>
      <xdr:col>13</xdr:col>
      <xdr:colOff>190500</xdr:colOff>
      <xdr:row>126</xdr:row>
      <xdr:rowOff>28575</xdr:rowOff>
    </xdr:from>
    <xdr:to>
      <xdr:col>14</xdr:col>
      <xdr:colOff>200025</xdr:colOff>
      <xdr:row>129</xdr:row>
      <xdr:rowOff>19050</xdr:rowOff>
    </xdr:to>
    <xdr:grpSp>
      <xdr:nvGrpSpPr>
        <xdr:cNvPr id="26" name="Group 882"/>
        <xdr:cNvGrpSpPr>
          <a:grpSpLocks/>
        </xdr:cNvGrpSpPr>
      </xdr:nvGrpSpPr>
      <xdr:grpSpPr>
        <a:xfrm>
          <a:off x="8334375" y="21116925"/>
          <a:ext cx="590550" cy="476250"/>
          <a:chOff x="13786" y="33452"/>
          <a:chExt cx="974" cy="751"/>
        </a:xfrm>
        <a:solidFill>
          <a:srgbClr val="FFFFFF"/>
        </a:solidFill>
      </xdr:grpSpPr>
      <xdr:sp>
        <xdr:nvSpPr>
          <xdr:cNvPr id="27" name="AutoShape 883"/>
          <xdr:cNvSpPr>
            <a:spLocks/>
          </xdr:cNvSpPr>
        </xdr:nvSpPr>
        <xdr:spPr>
          <a:xfrm>
            <a:off x="13941" y="33452"/>
            <a:ext cx="661" cy="264"/>
          </a:xfrm>
          <a:prstGeom prst="curvedDownArrow">
            <a:avLst>
              <a:gd name="adj1" fmla="val -50000"/>
              <a:gd name="adj2" fmla="val -50000"/>
              <a:gd name="adj3" fmla="val -50000"/>
            </a:avLst>
          </a:prstGeom>
          <a:solidFill>
            <a:srgbClr val="FFFF00"/>
          </a:solidFill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884"/>
          <xdr:cNvSpPr>
            <a:spLocks/>
          </xdr:cNvSpPr>
        </xdr:nvSpPr>
        <xdr:spPr>
          <a:xfrm>
            <a:off x="13786" y="33783"/>
            <a:ext cx="974" cy="421"/>
          </a:xfrm>
          <a:prstGeom prst="round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-9,6%</a:t>
            </a:r>
          </a:p>
        </xdr:txBody>
      </xdr:sp>
    </xdr:grpSp>
    <xdr:clientData/>
  </xdr:twoCellAnchor>
  <xdr:twoCellAnchor>
    <xdr:from>
      <xdr:col>18</xdr:col>
      <xdr:colOff>581025</xdr:colOff>
      <xdr:row>131</xdr:row>
      <xdr:rowOff>0</xdr:rowOff>
    </xdr:from>
    <xdr:to>
      <xdr:col>31</xdr:col>
      <xdr:colOff>190500</xdr:colOff>
      <xdr:row>157</xdr:row>
      <xdr:rowOff>85725</xdr:rowOff>
    </xdr:to>
    <xdr:graphicFrame>
      <xdr:nvGraphicFramePr>
        <xdr:cNvPr id="29" name="Chart 29"/>
        <xdr:cNvGraphicFramePr/>
      </xdr:nvGraphicFramePr>
      <xdr:xfrm>
        <a:off x="14344650" y="21897975"/>
        <a:ext cx="6762750" cy="4572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31</xdr:col>
      <xdr:colOff>371475</xdr:colOff>
      <xdr:row>131</xdr:row>
      <xdr:rowOff>28575</xdr:rowOff>
    </xdr:from>
    <xdr:to>
      <xdr:col>46</xdr:col>
      <xdr:colOff>133350</xdr:colOff>
      <xdr:row>157</xdr:row>
      <xdr:rowOff>123825</xdr:rowOff>
    </xdr:to>
    <xdr:graphicFrame>
      <xdr:nvGraphicFramePr>
        <xdr:cNvPr id="30" name="Chart 30"/>
        <xdr:cNvGraphicFramePr/>
      </xdr:nvGraphicFramePr>
      <xdr:xfrm>
        <a:off x="21288375" y="21926550"/>
        <a:ext cx="6724650" cy="4581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561975</xdr:colOff>
      <xdr:row>158</xdr:row>
      <xdr:rowOff>104775</xdr:rowOff>
    </xdr:from>
    <xdr:to>
      <xdr:col>31</xdr:col>
      <xdr:colOff>161925</xdr:colOff>
      <xdr:row>187</xdr:row>
      <xdr:rowOff>19050</xdr:rowOff>
    </xdr:to>
    <xdr:graphicFrame>
      <xdr:nvGraphicFramePr>
        <xdr:cNvPr id="31" name="Chart 31"/>
        <xdr:cNvGraphicFramePr/>
      </xdr:nvGraphicFramePr>
      <xdr:xfrm>
        <a:off x="14325600" y="26660475"/>
        <a:ext cx="6753225" cy="4610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561975</xdr:colOff>
      <xdr:row>188</xdr:row>
      <xdr:rowOff>57150</xdr:rowOff>
    </xdr:from>
    <xdr:to>
      <xdr:col>31</xdr:col>
      <xdr:colOff>161925</xdr:colOff>
      <xdr:row>216</xdr:row>
      <xdr:rowOff>123825</xdr:rowOff>
    </xdr:to>
    <xdr:graphicFrame>
      <xdr:nvGraphicFramePr>
        <xdr:cNvPr id="32" name="Chart 32"/>
        <xdr:cNvGraphicFramePr/>
      </xdr:nvGraphicFramePr>
      <xdr:xfrm>
        <a:off x="14325600" y="31470600"/>
        <a:ext cx="6753225" cy="4610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38100</xdr:colOff>
      <xdr:row>367</xdr:row>
      <xdr:rowOff>85725</xdr:rowOff>
    </xdr:from>
    <xdr:to>
      <xdr:col>11</xdr:col>
      <xdr:colOff>142875</xdr:colOff>
      <xdr:row>387</xdr:row>
      <xdr:rowOff>85725</xdr:rowOff>
    </xdr:to>
    <xdr:graphicFrame>
      <xdr:nvGraphicFramePr>
        <xdr:cNvPr id="33" name="Chart 33"/>
        <xdr:cNvGraphicFramePr/>
      </xdr:nvGraphicFramePr>
      <xdr:xfrm>
        <a:off x="38100" y="60740925"/>
        <a:ext cx="708660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391</xdr:row>
      <xdr:rowOff>38100</xdr:rowOff>
    </xdr:from>
    <xdr:to>
      <xdr:col>10</xdr:col>
      <xdr:colOff>352425</xdr:colOff>
      <xdr:row>419</xdr:row>
      <xdr:rowOff>133350</xdr:rowOff>
    </xdr:to>
    <xdr:graphicFrame>
      <xdr:nvGraphicFramePr>
        <xdr:cNvPr id="34" name="Chart 34"/>
        <xdr:cNvGraphicFramePr/>
      </xdr:nvGraphicFramePr>
      <xdr:xfrm>
        <a:off x="28575" y="64579500"/>
        <a:ext cx="6724650" cy="4638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266700</xdr:colOff>
      <xdr:row>14</xdr:row>
      <xdr:rowOff>114300</xdr:rowOff>
    </xdr:from>
    <xdr:to>
      <xdr:col>24</xdr:col>
      <xdr:colOff>447675</xdr:colOff>
      <xdr:row>30</xdr:row>
      <xdr:rowOff>57150</xdr:rowOff>
    </xdr:to>
    <xdr:graphicFrame>
      <xdr:nvGraphicFramePr>
        <xdr:cNvPr id="35" name="Chart 35"/>
        <xdr:cNvGraphicFramePr/>
      </xdr:nvGraphicFramePr>
      <xdr:xfrm>
        <a:off x="13573125" y="2667000"/>
        <a:ext cx="4572000" cy="27336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381000</xdr:colOff>
      <xdr:row>34</xdr:row>
      <xdr:rowOff>57150</xdr:rowOff>
    </xdr:from>
    <xdr:to>
      <xdr:col>24</xdr:col>
      <xdr:colOff>561975</xdr:colOff>
      <xdr:row>50</xdr:row>
      <xdr:rowOff>28575</xdr:rowOff>
    </xdr:to>
    <xdr:graphicFrame>
      <xdr:nvGraphicFramePr>
        <xdr:cNvPr id="36" name="Chart 36"/>
        <xdr:cNvGraphicFramePr/>
      </xdr:nvGraphicFramePr>
      <xdr:xfrm>
        <a:off x="13687425" y="6048375"/>
        <a:ext cx="4572000" cy="2733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01-nn@sandy.ru" TargetMode="External" /><Relationship Id="rId2" Type="http://schemas.openxmlformats.org/officeDocument/2006/relationships/hyperlink" Target="mailto:ugps01@udmlin&#1089;.ru" TargetMode="External" /><Relationship Id="rId3" Type="http://schemas.openxmlformats.org/officeDocument/2006/relationships/hyperlink" Target="mailto:statistika@mchsrb.ru" TargetMode="External" /><Relationship Id="rId4" Type="http://schemas.openxmlformats.org/officeDocument/2006/relationships/hyperlink" Target="mailto:ugps@moris.ru" TargetMode="External" /><Relationship Id="rId5" Type="http://schemas.openxmlformats.org/officeDocument/2006/relationships/hyperlink" Target="mailto:ugps@mari-el.ru" TargetMode="External" /><Relationship Id="rId6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view="pageBreakPreview" zoomScaleSheetLayoutView="10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"/>
    </sheetView>
  </sheetViews>
  <sheetFormatPr defaultColWidth="9.140625" defaultRowHeight="12.75"/>
  <cols>
    <col min="1" max="1" width="25.140625" style="1" customWidth="1"/>
    <col min="2" max="2" width="7.00390625" style="1" customWidth="1"/>
    <col min="3" max="3" width="6.421875" style="1" customWidth="1"/>
    <col min="4" max="4" width="9.57421875" style="1" customWidth="1"/>
    <col min="5" max="5" width="13.140625" style="1" customWidth="1"/>
    <col min="6" max="6" width="13.00390625" style="1" customWidth="1"/>
    <col min="7" max="7" width="9.28125" style="1" customWidth="1"/>
    <col min="8" max="8" width="6.57421875" style="2" customWidth="1"/>
    <col min="9" max="9" width="6.421875" style="2" customWidth="1"/>
    <col min="10" max="10" width="8.57421875" style="2" customWidth="1"/>
    <col min="11" max="11" width="6.57421875" style="1" customWidth="1"/>
    <col min="12" max="12" width="6.421875" style="1" customWidth="1"/>
    <col min="13" max="13" width="8.57421875" style="1" customWidth="1"/>
    <col min="14" max="14" width="6.57421875" style="1" customWidth="1"/>
    <col min="15" max="15" width="6.421875" style="1" customWidth="1"/>
    <col min="16" max="16" width="8.57421875" style="1" customWidth="1"/>
    <col min="17" max="16384" width="9.140625" style="1" customWidth="1"/>
  </cols>
  <sheetData>
    <row r="1" spans="1:16" ht="15">
      <c r="A1" s="556" t="s">
        <v>0</v>
      </c>
      <c r="B1" s="556"/>
      <c r="C1" s="556"/>
      <c r="D1" s="556"/>
      <c r="E1" s="556"/>
      <c r="F1" s="556"/>
      <c r="G1" s="556"/>
      <c r="H1" s="556"/>
      <c r="I1" s="556"/>
      <c r="J1" s="556"/>
      <c r="K1" s="4"/>
      <c r="L1" s="4"/>
      <c r="M1" s="4"/>
      <c r="N1" s="4"/>
      <c r="O1" s="4"/>
      <c r="P1" s="4"/>
    </row>
    <row r="2" spans="1:16" ht="15.75" customHeight="1">
      <c r="A2" s="556" t="s">
        <v>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</row>
    <row r="3" spans="1:16" ht="15.75">
      <c r="A3" s="3"/>
      <c r="B3" s="3"/>
      <c r="C3" s="5"/>
      <c r="D3" s="3"/>
      <c r="E3" s="3"/>
      <c r="F3" s="3"/>
      <c r="G3" s="3"/>
      <c r="H3" s="6"/>
      <c r="I3" s="6"/>
      <c r="J3" s="6"/>
      <c r="K3" s="4"/>
      <c r="L3" s="4"/>
      <c r="M3" s="4"/>
      <c r="N3" s="4"/>
      <c r="O3" s="4"/>
      <c r="P3" s="4"/>
    </row>
    <row r="4" spans="1:16" ht="15.75">
      <c r="A4" s="7" t="s">
        <v>2</v>
      </c>
      <c r="B4" s="557" t="s">
        <v>3</v>
      </c>
      <c r="C4" s="557"/>
      <c r="D4" s="557"/>
      <c r="E4" s="558" t="s">
        <v>4</v>
      </c>
      <c r="F4" s="558"/>
      <c r="G4" s="558"/>
      <c r="H4" s="559" t="s">
        <v>5</v>
      </c>
      <c r="I4" s="559"/>
      <c r="J4" s="8" t="s">
        <v>6</v>
      </c>
      <c r="K4" s="557" t="s">
        <v>7</v>
      </c>
      <c r="L4" s="557"/>
      <c r="M4" s="557"/>
      <c r="N4" s="558" t="s">
        <v>8</v>
      </c>
      <c r="O4" s="558"/>
      <c r="P4" s="558"/>
    </row>
    <row r="5" spans="1:16" ht="15.75">
      <c r="A5" s="9"/>
      <c r="B5" s="10">
        <v>2012</v>
      </c>
      <c r="C5" s="11">
        <v>2011</v>
      </c>
      <c r="D5" s="12" t="s">
        <v>9</v>
      </c>
      <c r="E5" s="10">
        <f>B5</f>
        <v>2012</v>
      </c>
      <c r="F5" s="11">
        <f>C5</f>
        <v>2011</v>
      </c>
      <c r="G5" s="12" t="s">
        <v>9</v>
      </c>
      <c r="H5" s="13">
        <f>B5</f>
        <v>2012</v>
      </c>
      <c r="I5" s="14">
        <f>C5</f>
        <v>2011</v>
      </c>
      <c r="J5" s="15" t="s">
        <v>9</v>
      </c>
      <c r="K5" s="10">
        <f>B5</f>
        <v>2012</v>
      </c>
      <c r="L5" s="16">
        <f>C5</f>
        <v>2011</v>
      </c>
      <c r="M5" s="12" t="s">
        <v>9</v>
      </c>
      <c r="N5" s="10">
        <f>B5</f>
        <v>2012</v>
      </c>
      <c r="O5" s="16">
        <f>C5</f>
        <v>2011</v>
      </c>
      <c r="P5" s="12" t="s">
        <v>9</v>
      </c>
    </row>
    <row r="6" spans="1:16" ht="15" customHeight="1">
      <c r="A6" s="17" t="s">
        <v>10</v>
      </c>
      <c r="B6" s="18">
        <f>B7+B8+B9</f>
        <v>228</v>
      </c>
      <c r="C6" s="19">
        <f>C7+C8+C9</f>
        <v>234</v>
      </c>
      <c r="D6" s="20" t="str">
        <f>IF(C6&lt;&gt;0,TEXT(((B6-C6)/C6)*100,"0,0"),"--")</f>
        <v>-2,6</v>
      </c>
      <c r="E6" s="21">
        <f>E7+E8+E9</f>
        <v>19722406</v>
      </c>
      <c r="F6" s="22">
        <f>F7+F8+F9</f>
        <v>14008557</v>
      </c>
      <c r="G6" s="20" t="str">
        <f>IF(F6&lt;&gt;0,TEXT(((E6-F6)/F6)*100,"0,0"),"--")</f>
        <v>40,8</v>
      </c>
      <c r="H6" s="18">
        <f>H7+H8+H9</f>
        <v>21</v>
      </c>
      <c r="I6" s="19">
        <f>I7+I8+I9</f>
        <v>16</v>
      </c>
      <c r="J6" s="20" t="str">
        <f>IF(I6&lt;&gt;0,TEXT(((H6-I6)/I6)*100,"0,0"),"--")</f>
        <v>31,3</v>
      </c>
      <c r="K6" s="18">
        <f>K7+K8+K9</f>
        <v>49</v>
      </c>
      <c r="L6" s="19">
        <f>L7+L8+L9</f>
        <v>44</v>
      </c>
      <c r="M6" s="20" t="str">
        <f>IF(L6&lt;&gt;0,TEXT(((K6-L6)/L6)*100,"0,0"),"--")</f>
        <v>11,4</v>
      </c>
      <c r="N6" s="18">
        <f>N7+N8+N9</f>
        <v>196</v>
      </c>
      <c r="O6" s="19">
        <f>O7+O8+O9</f>
        <v>162</v>
      </c>
      <c r="P6" s="20" t="str">
        <f>IF(O6&lt;&gt;0,TEXT(((N6-O6)/O6)*100,"0,0"),"--")</f>
        <v>21,0</v>
      </c>
    </row>
    <row r="7" spans="1:16" ht="15" customHeight="1">
      <c r="A7" s="23" t="s">
        <v>11</v>
      </c>
      <c r="B7" s="24">
        <f>'2009-2010'!T24</f>
        <v>62</v>
      </c>
      <c r="C7" s="25">
        <f>'2009-2010'!B24</f>
        <v>58</v>
      </c>
      <c r="D7" s="26" t="str">
        <f aca="true" t="shared" si="0" ref="D7:D58">IF(C7&lt;&gt;0,TEXT(((B7-C7)/C7)*100,"0,0"),"--")</f>
        <v>6,9</v>
      </c>
      <c r="E7" s="24">
        <f>'2009-2010'!U24</f>
        <v>7965575</v>
      </c>
      <c r="F7" s="25">
        <f>'2009-2010'!C24</f>
        <v>4055278</v>
      </c>
      <c r="G7" s="26" t="str">
        <f aca="true" t="shared" si="1" ref="G7:G57">IF(F7&lt;&gt;0,TEXT(((E7-F7)/F7)*100,"0,0"),"--")</f>
        <v>96,4</v>
      </c>
      <c r="H7" s="24">
        <f>'2009-2010'!V24</f>
        <v>5</v>
      </c>
      <c r="I7" s="25">
        <f>'2009-2010'!D24</f>
        <v>3</v>
      </c>
      <c r="J7" s="27" t="str">
        <f aca="true" t="shared" si="2" ref="J7:J57">IF(I7&lt;&gt;0,TEXT(((H7-I7)/I7)*100,"0,0"),"--")</f>
        <v>66,7</v>
      </c>
      <c r="K7" s="24">
        <f>'2009-2010'!W24</f>
        <v>10</v>
      </c>
      <c r="L7" s="25">
        <f>'2009-2010'!E24</f>
        <v>7</v>
      </c>
      <c r="M7" s="26" t="str">
        <f aca="true" t="shared" si="3" ref="M7:M57">IF(L7&lt;&gt;0,TEXT(((K7-L7)/L7)*100,"0,0"),"--")</f>
        <v>42,9</v>
      </c>
      <c r="N7" s="24">
        <f>'2009-2010'!X24</f>
        <v>61</v>
      </c>
      <c r="O7" s="25">
        <f>'2009-2010'!F24</f>
        <v>43</v>
      </c>
      <c r="P7" s="26" t="str">
        <f aca="true" t="shared" si="4" ref="P7:P58">IF(O7&lt;&gt;0,TEXT(((N7-O7)/O7)*100,"0,0"),"--")</f>
        <v>41,9</v>
      </c>
    </row>
    <row r="8" spans="1:16" ht="15" customHeight="1">
      <c r="A8" s="28" t="s">
        <v>12</v>
      </c>
      <c r="B8" s="29">
        <f>'2009-2010'!T26</f>
        <v>76</v>
      </c>
      <c r="C8" s="30">
        <f>'2009-2010'!B26</f>
        <v>84</v>
      </c>
      <c r="D8" s="31" t="str">
        <f t="shared" si="0"/>
        <v>-9,5</v>
      </c>
      <c r="E8" s="29">
        <f>'2009-2010'!U26</f>
        <v>4174505</v>
      </c>
      <c r="F8" s="30">
        <f>'2009-2010'!C26</f>
        <v>5800179</v>
      </c>
      <c r="G8" s="31" t="str">
        <f t="shared" si="1"/>
        <v>-28,0</v>
      </c>
      <c r="H8" s="29">
        <f>'2009-2010'!V26</f>
        <v>9</v>
      </c>
      <c r="I8" s="30">
        <f>'2009-2010'!D26</f>
        <v>8</v>
      </c>
      <c r="J8" s="32" t="str">
        <f t="shared" si="2"/>
        <v>12,5</v>
      </c>
      <c r="K8" s="29">
        <f>'2009-2010'!W26</f>
        <v>23</v>
      </c>
      <c r="L8" s="30">
        <f>'2009-2010'!E26</f>
        <v>20</v>
      </c>
      <c r="M8" s="31" t="str">
        <f t="shared" si="3"/>
        <v>15,0</v>
      </c>
      <c r="N8" s="29">
        <f>'2009-2010'!X26</f>
        <v>50</v>
      </c>
      <c r="O8" s="30">
        <f>'2009-2010'!F26</f>
        <v>56</v>
      </c>
      <c r="P8" s="31" t="str">
        <f t="shared" si="4"/>
        <v>-10,7</v>
      </c>
    </row>
    <row r="9" spans="1:16" ht="15" customHeight="1">
      <c r="A9" s="33" t="s">
        <v>13</v>
      </c>
      <c r="B9" s="34">
        <f>'2009-2010'!T25</f>
        <v>90</v>
      </c>
      <c r="C9" s="35">
        <f>'2009-2010'!B25</f>
        <v>92</v>
      </c>
      <c r="D9" s="36" t="str">
        <f t="shared" si="0"/>
        <v>-2,2</v>
      </c>
      <c r="E9" s="34">
        <f>'2009-2010'!U25</f>
        <v>7582326</v>
      </c>
      <c r="F9" s="35">
        <f>'2009-2010'!C25</f>
        <v>4153100</v>
      </c>
      <c r="G9" s="36" t="str">
        <f t="shared" si="1"/>
        <v>82,6</v>
      </c>
      <c r="H9" s="34">
        <f>'2009-2010'!V25</f>
        <v>7</v>
      </c>
      <c r="I9" s="35">
        <f>'2009-2010'!D25</f>
        <v>5</v>
      </c>
      <c r="J9" s="37" t="str">
        <f t="shared" si="2"/>
        <v>40,0</v>
      </c>
      <c r="K9" s="34">
        <f>'2009-2010'!W25</f>
        <v>16</v>
      </c>
      <c r="L9" s="35">
        <f>'2009-2010'!E25</f>
        <v>17</v>
      </c>
      <c r="M9" s="36" t="str">
        <f t="shared" si="3"/>
        <v>-5,9</v>
      </c>
      <c r="N9" s="34">
        <f>'2009-2010'!X25</f>
        <v>85</v>
      </c>
      <c r="O9" s="35">
        <f>'2009-2010'!F25</f>
        <v>63</v>
      </c>
      <c r="P9" s="36" t="str">
        <f t="shared" si="4"/>
        <v>34,9</v>
      </c>
    </row>
    <row r="10" spans="1:16" ht="17.25" customHeight="1">
      <c r="A10" s="23" t="s">
        <v>14</v>
      </c>
      <c r="B10" s="24">
        <f>'2009-2010'!T3</f>
        <v>52</v>
      </c>
      <c r="C10" s="25">
        <f>'2009-2010'!B3</f>
        <v>76</v>
      </c>
      <c r="D10" s="26" t="str">
        <f t="shared" si="0"/>
        <v>-31,6</v>
      </c>
      <c r="E10" s="24">
        <f>'2009-2010'!U3</f>
        <v>4906357</v>
      </c>
      <c r="F10" s="25">
        <f>'2009-2010'!C3</f>
        <v>4388550</v>
      </c>
      <c r="G10" s="26" t="str">
        <f t="shared" si="1"/>
        <v>11,8</v>
      </c>
      <c r="H10" s="38">
        <f>'2009-2010'!V3</f>
        <v>8</v>
      </c>
      <c r="I10" s="25">
        <f>'2009-2010'!D3</f>
        <v>6</v>
      </c>
      <c r="J10" s="27" t="str">
        <f t="shared" si="2"/>
        <v>33,3</v>
      </c>
      <c r="K10" s="24">
        <f>'2009-2010'!W3</f>
        <v>6</v>
      </c>
      <c r="L10" s="25">
        <f>'2009-2010'!E3</f>
        <v>3</v>
      </c>
      <c r="M10" s="26" t="str">
        <f t="shared" si="3"/>
        <v>100,0</v>
      </c>
      <c r="N10" s="24">
        <f>'2009-2010'!X3</f>
        <v>7</v>
      </c>
      <c r="O10" s="25">
        <f>'2009-2010'!F3</f>
        <v>10</v>
      </c>
      <c r="P10" s="26" t="str">
        <f t="shared" si="4"/>
        <v>-30,0</v>
      </c>
    </row>
    <row r="11" spans="1:16" ht="12.75" customHeight="1" hidden="1">
      <c r="A11" s="28" t="s">
        <v>15</v>
      </c>
      <c r="B11" s="29">
        <f>'2009-2010'!T29</f>
        <v>28</v>
      </c>
      <c r="C11" s="30">
        <f>'2009-2010'!B28</f>
        <v>1087</v>
      </c>
      <c r="D11" s="31" t="str">
        <f t="shared" si="0"/>
        <v>-97,4</v>
      </c>
      <c r="E11" s="29">
        <f>'2009-2010'!U29</f>
        <v>1154000</v>
      </c>
      <c r="F11" s="30">
        <f>'2009-2010'!C29</f>
        <v>298000</v>
      </c>
      <c r="G11" s="31" t="str">
        <f t="shared" si="1"/>
        <v>287,2</v>
      </c>
      <c r="H11" s="38">
        <f>'2009-2010'!V29</f>
        <v>7</v>
      </c>
      <c r="I11" s="30">
        <f>'2009-2010'!H28</f>
        <v>139</v>
      </c>
      <c r="J11" s="32" t="str">
        <f t="shared" si="2"/>
        <v>-95,0</v>
      </c>
      <c r="K11" s="29">
        <f>'2009-2010'!W29</f>
        <v>2</v>
      </c>
      <c r="L11" s="30">
        <f>'2009-2010'!K28</f>
        <v>533</v>
      </c>
      <c r="M11" s="31" t="str">
        <f t="shared" si="3"/>
        <v>-99,6</v>
      </c>
      <c r="N11" s="29">
        <f>'2009-2010'!X29</f>
        <v>3</v>
      </c>
      <c r="O11" s="30">
        <f>'2009-2010'!N28</f>
        <v>39</v>
      </c>
      <c r="P11" s="31" t="str">
        <f t="shared" si="4"/>
        <v>-92,3</v>
      </c>
    </row>
    <row r="12" spans="1:16" ht="12.75" customHeight="1" hidden="1">
      <c r="A12" s="28" t="s">
        <v>16</v>
      </c>
      <c r="B12" s="29">
        <f>'2009-2010'!T36</f>
        <v>0</v>
      </c>
      <c r="C12" s="30">
        <f>'2009-2010'!B29</f>
        <v>10</v>
      </c>
      <c r="D12" s="31" t="str">
        <f t="shared" si="0"/>
        <v>-100,0</v>
      </c>
      <c r="E12" s="29">
        <f>'2009-2010'!U36</f>
        <v>0</v>
      </c>
      <c r="F12" s="30">
        <f>'2009-2010'!C36</f>
        <v>260000</v>
      </c>
      <c r="G12" s="31" t="str">
        <f t="shared" si="1"/>
        <v>-100,0</v>
      </c>
      <c r="H12" s="24">
        <f>'2009-2010'!V36</f>
        <v>0</v>
      </c>
      <c r="I12" s="30">
        <f>'2009-2010'!H29</f>
        <v>0</v>
      </c>
      <c r="J12" s="32" t="str">
        <f t="shared" si="2"/>
        <v>--</v>
      </c>
      <c r="K12" s="29">
        <f>'2009-2010'!W36</f>
        <v>0</v>
      </c>
      <c r="L12" s="30">
        <f>'2009-2010'!K29</f>
        <v>0</v>
      </c>
      <c r="M12" s="31" t="str">
        <f t="shared" si="3"/>
        <v>--</v>
      </c>
      <c r="N12" s="29">
        <f>'2009-2010'!X36</f>
        <v>0</v>
      </c>
      <c r="O12" s="30">
        <f>'2009-2010'!N29</f>
        <v>0</v>
      </c>
      <c r="P12" s="31" t="str">
        <f t="shared" si="4"/>
        <v>--</v>
      </c>
    </row>
    <row r="13" spans="1:16" ht="15" customHeight="1">
      <c r="A13" s="28" t="s">
        <v>17</v>
      </c>
      <c r="B13" s="29">
        <f>'2009-2010'!T4</f>
        <v>23</v>
      </c>
      <c r="C13" s="30">
        <f>'2009-2010'!B4</f>
        <v>23</v>
      </c>
      <c r="D13" s="31" t="str">
        <f t="shared" si="0"/>
        <v>0,0</v>
      </c>
      <c r="E13" s="29">
        <f>'2009-2010'!U4</f>
        <v>662500</v>
      </c>
      <c r="F13" s="30">
        <f>'2009-2010'!C4</f>
        <v>2349782</v>
      </c>
      <c r="G13" s="31" t="str">
        <f t="shared" si="1"/>
        <v>-71,8</v>
      </c>
      <c r="H13" s="29">
        <f>'2009-2010'!V4</f>
        <v>1</v>
      </c>
      <c r="I13" s="30">
        <f>'2009-2010'!D4</f>
        <v>5</v>
      </c>
      <c r="J13" s="32" t="str">
        <f t="shared" si="2"/>
        <v>-80,0</v>
      </c>
      <c r="K13" s="29">
        <f>'2009-2010'!W4</f>
        <v>1</v>
      </c>
      <c r="L13" s="30">
        <f>'2009-2010'!E4</f>
        <v>5</v>
      </c>
      <c r="M13" s="31" t="str">
        <f t="shared" si="3"/>
        <v>-80,0</v>
      </c>
      <c r="N13" s="29">
        <f>'2009-2010'!X4</f>
        <v>0</v>
      </c>
      <c r="O13" s="30">
        <f>'2009-2010'!F4</f>
        <v>3</v>
      </c>
      <c r="P13" s="31" t="str">
        <f t="shared" si="4"/>
        <v>-100,0</v>
      </c>
    </row>
    <row r="14" spans="1:16" ht="12.75" customHeight="1" hidden="1">
      <c r="A14" s="28" t="s">
        <v>18</v>
      </c>
      <c r="B14" s="29">
        <f>'2009-2010'!T5</f>
        <v>38</v>
      </c>
      <c r="C14" s="30">
        <f>'2009-2010'!B31</f>
        <v>9</v>
      </c>
      <c r="D14" s="31" t="str">
        <f t="shared" si="0"/>
        <v>322,2</v>
      </c>
      <c r="E14" s="29">
        <f>'2009-2010'!W5</f>
        <v>2</v>
      </c>
      <c r="F14" s="30">
        <f>'2009-2010'!E31</f>
        <v>0</v>
      </c>
      <c r="G14" s="31" t="str">
        <f t="shared" si="1"/>
        <v>--</v>
      </c>
      <c r="H14" s="29">
        <f>'2009-2010'!Z5</f>
        <v>2</v>
      </c>
      <c r="I14" s="30">
        <f>'2009-2010'!H31</f>
        <v>0</v>
      </c>
      <c r="J14" s="32" t="str">
        <f t="shared" si="2"/>
        <v>--</v>
      </c>
      <c r="K14" s="29">
        <f>'2009-2010'!AC5</f>
        <v>20</v>
      </c>
      <c r="L14" s="30">
        <f>'2009-2010'!K31</f>
        <v>5</v>
      </c>
      <c r="M14" s="31" t="str">
        <f t="shared" si="3"/>
        <v>300,0</v>
      </c>
      <c r="N14" s="29">
        <f>'2009-2010'!AF5</f>
        <v>0</v>
      </c>
      <c r="O14" s="30">
        <f>'2009-2010'!N31</f>
        <v>0</v>
      </c>
      <c r="P14" s="31" t="str">
        <f t="shared" si="4"/>
        <v>--</v>
      </c>
    </row>
    <row r="15" spans="1:16" ht="15" customHeight="1">
      <c r="A15" s="28" t="s">
        <v>19</v>
      </c>
      <c r="B15" s="29">
        <f>'2009-2010'!T5</f>
        <v>38</v>
      </c>
      <c r="C15" s="30">
        <f>'2009-2010'!B5</f>
        <v>36</v>
      </c>
      <c r="D15" s="31" t="str">
        <f t="shared" si="0"/>
        <v>5,6</v>
      </c>
      <c r="E15" s="29">
        <f>'2009-2010'!U5</f>
        <v>1339820</v>
      </c>
      <c r="F15" s="30">
        <f>'2009-2010'!C5</f>
        <v>1882588</v>
      </c>
      <c r="G15" s="31" t="str">
        <f t="shared" si="1"/>
        <v>-28,8</v>
      </c>
      <c r="H15" s="29">
        <f>'2009-2010'!V5</f>
        <v>1</v>
      </c>
      <c r="I15" s="30">
        <f>'2009-2010'!D5</f>
        <v>0</v>
      </c>
      <c r="J15" s="32" t="str">
        <f t="shared" si="2"/>
        <v>--</v>
      </c>
      <c r="K15" s="29">
        <f>'2009-2010'!W5</f>
        <v>2</v>
      </c>
      <c r="L15" s="30">
        <f>'2009-2010'!E5</f>
        <v>0</v>
      </c>
      <c r="M15" s="31" t="str">
        <f t="shared" si="3"/>
        <v>--</v>
      </c>
      <c r="N15" s="29">
        <f>'2009-2010'!X5</f>
        <v>2</v>
      </c>
      <c r="O15" s="30">
        <f>'2009-2010'!F5</f>
        <v>1</v>
      </c>
      <c r="P15" s="31" t="str">
        <f t="shared" si="4"/>
        <v>100,0</v>
      </c>
    </row>
    <row r="16" spans="1:16" ht="12.75" customHeight="1" hidden="1">
      <c r="A16" s="28" t="s">
        <v>20</v>
      </c>
      <c r="B16" s="29">
        <f>'2009-2010'!T7</f>
        <v>34</v>
      </c>
      <c r="C16" s="30">
        <f>'2009-2010'!B33</f>
        <v>3</v>
      </c>
      <c r="D16" s="31" t="str">
        <f t="shared" si="0"/>
        <v>1033,3</v>
      </c>
      <c r="E16" s="29">
        <f>'2009-2010'!W7</f>
        <v>2</v>
      </c>
      <c r="F16" s="30">
        <f>'2009-2010'!E33</f>
        <v>0</v>
      </c>
      <c r="G16" s="31" t="str">
        <f t="shared" si="1"/>
        <v>--</v>
      </c>
      <c r="H16" s="29">
        <f>'2009-2010'!Z7</f>
        <v>2</v>
      </c>
      <c r="I16" s="30">
        <f>'2009-2010'!H33</f>
        <v>0</v>
      </c>
      <c r="J16" s="32" t="str">
        <f t="shared" si="2"/>
        <v>--</v>
      </c>
      <c r="K16" s="29">
        <f>'2009-2010'!AC7</f>
        <v>12</v>
      </c>
      <c r="L16" s="30">
        <f>'2009-2010'!K33</f>
        <v>1</v>
      </c>
      <c r="M16" s="31" t="str">
        <f t="shared" si="3"/>
        <v>1100,0</v>
      </c>
      <c r="N16" s="29">
        <f>'2009-2010'!AF7</f>
        <v>0</v>
      </c>
      <c r="O16" s="30">
        <f>'2009-2010'!N33</f>
        <v>0</v>
      </c>
      <c r="P16" s="31" t="str">
        <f t="shared" si="4"/>
        <v>--</v>
      </c>
    </row>
    <row r="17" spans="1:16" ht="15" customHeight="1">
      <c r="A17" s="28" t="s">
        <v>21</v>
      </c>
      <c r="B17" s="29">
        <f>'2009-2010'!T6</f>
        <v>50</v>
      </c>
      <c r="C17" s="30">
        <f>'2009-2010'!B6</f>
        <v>53</v>
      </c>
      <c r="D17" s="31" t="str">
        <f t="shared" si="0"/>
        <v>-5,7</v>
      </c>
      <c r="E17" s="29">
        <f>'2009-2010'!U6</f>
        <v>2341227</v>
      </c>
      <c r="F17" s="30">
        <f>'2009-2010'!C6</f>
        <v>3482390</v>
      </c>
      <c r="G17" s="31" t="str">
        <f t="shared" si="1"/>
        <v>-32,8</v>
      </c>
      <c r="H17" s="29">
        <f>'2009-2010'!V6</f>
        <v>2</v>
      </c>
      <c r="I17" s="30">
        <f>'2009-2010'!D6</f>
        <v>4</v>
      </c>
      <c r="J17" s="32" t="str">
        <f t="shared" si="2"/>
        <v>-50,0</v>
      </c>
      <c r="K17" s="29">
        <f>'2009-2010'!W6</f>
        <v>5</v>
      </c>
      <c r="L17" s="30">
        <f>'2009-2010'!E6</f>
        <v>2</v>
      </c>
      <c r="M17" s="31" t="str">
        <f t="shared" si="3"/>
        <v>150,0</v>
      </c>
      <c r="N17" s="29">
        <f>'2009-2010'!X6</f>
        <v>1</v>
      </c>
      <c r="O17" s="30">
        <f>'2009-2010'!F6</f>
        <v>14</v>
      </c>
      <c r="P17" s="31" t="str">
        <f t="shared" si="4"/>
        <v>-92,9</v>
      </c>
    </row>
    <row r="18" spans="1:16" ht="12.75" customHeight="1" hidden="1">
      <c r="A18" s="28" t="s">
        <v>22</v>
      </c>
      <c r="B18" s="29">
        <f>'2009-2010'!T9</f>
        <v>28</v>
      </c>
      <c r="C18" s="30">
        <f>'2009-2010'!B35</f>
        <v>2</v>
      </c>
      <c r="D18" s="31" t="str">
        <f t="shared" si="0"/>
        <v>1300,0</v>
      </c>
      <c r="E18" s="29">
        <f>'2009-2010'!W9</f>
        <v>1</v>
      </c>
      <c r="F18" s="30">
        <f>'2009-2010'!E35</f>
        <v>0</v>
      </c>
      <c r="G18" s="31" t="str">
        <f t="shared" si="1"/>
        <v>--</v>
      </c>
      <c r="H18" s="29">
        <f>'2009-2010'!Z9</f>
        <v>4</v>
      </c>
      <c r="I18" s="30">
        <f>'2009-2010'!H35</f>
        <v>0</v>
      </c>
      <c r="J18" s="32" t="str">
        <f t="shared" si="2"/>
        <v>--</v>
      </c>
      <c r="K18" s="29">
        <f>'2009-2010'!AC9</f>
        <v>10</v>
      </c>
      <c r="L18" s="30">
        <f>'2009-2010'!K35</f>
        <v>0</v>
      </c>
      <c r="M18" s="31" t="str">
        <f t="shared" si="3"/>
        <v>--</v>
      </c>
      <c r="N18" s="29">
        <f>'2009-2010'!AF9</f>
        <v>0</v>
      </c>
      <c r="O18" s="30">
        <f>'2009-2010'!N35</f>
        <v>0</v>
      </c>
      <c r="P18" s="31" t="str">
        <f t="shared" si="4"/>
        <v>--</v>
      </c>
    </row>
    <row r="19" spans="1:16" ht="15" customHeight="1">
      <c r="A19" s="28" t="s">
        <v>23</v>
      </c>
      <c r="B19" s="29">
        <f>'2009-2010'!T7</f>
        <v>34</v>
      </c>
      <c r="C19" s="30">
        <f>'2009-2010'!B7</f>
        <v>33</v>
      </c>
      <c r="D19" s="31" t="str">
        <f t="shared" si="0"/>
        <v>3,0</v>
      </c>
      <c r="E19" s="29">
        <f>'2009-2010'!U7</f>
        <v>4619076</v>
      </c>
      <c r="F19" s="30">
        <f>'2009-2010'!C7</f>
        <v>2922500</v>
      </c>
      <c r="G19" s="31" t="str">
        <f t="shared" si="1"/>
        <v>58,1</v>
      </c>
      <c r="H19" s="29">
        <f>'2009-2010'!V7</f>
        <v>1</v>
      </c>
      <c r="I19" s="30">
        <f>'2009-2010'!D7</f>
        <v>2</v>
      </c>
      <c r="J19" s="32" t="str">
        <f t="shared" si="2"/>
        <v>-50,0</v>
      </c>
      <c r="K19" s="29">
        <f>'2009-2010'!W7</f>
        <v>2</v>
      </c>
      <c r="L19" s="30">
        <f>'2009-2010'!E7</f>
        <v>2</v>
      </c>
      <c r="M19" s="31" t="str">
        <f t="shared" si="3"/>
        <v>0,0</v>
      </c>
      <c r="N19" s="29">
        <f>'2009-2010'!X7</f>
        <v>0</v>
      </c>
      <c r="O19" s="30">
        <f>'2009-2010'!F7</f>
        <v>5</v>
      </c>
      <c r="P19" s="31" t="str">
        <f t="shared" si="4"/>
        <v>-100,0</v>
      </c>
    </row>
    <row r="20" spans="1:16" ht="12.75" customHeight="1" hidden="1">
      <c r="A20" s="28" t="s">
        <v>24</v>
      </c>
      <c r="B20" s="29">
        <f>'2009-2010'!T11</f>
        <v>15</v>
      </c>
      <c r="C20" s="30">
        <f>'2009-2010'!B37</f>
        <v>0</v>
      </c>
      <c r="D20" s="31" t="str">
        <f t="shared" si="0"/>
        <v>--</v>
      </c>
      <c r="E20" s="29">
        <f>'2009-2010'!W11</f>
        <v>1</v>
      </c>
      <c r="F20" s="30">
        <f>'2009-2010'!E37</f>
        <v>0</v>
      </c>
      <c r="G20" s="31" t="str">
        <f t="shared" si="1"/>
        <v>--</v>
      </c>
      <c r="H20" s="29">
        <f>'2009-2010'!Z11</f>
        <v>0</v>
      </c>
      <c r="I20" s="30">
        <f>'2009-2010'!H37</f>
        <v>0</v>
      </c>
      <c r="J20" s="32" t="str">
        <f t="shared" si="2"/>
        <v>--</v>
      </c>
      <c r="K20" s="29">
        <f>'2009-2010'!AC11</f>
        <v>6</v>
      </c>
      <c r="L20" s="30">
        <f>'2009-2010'!K37</f>
        <v>0</v>
      </c>
      <c r="M20" s="31" t="str">
        <f t="shared" si="3"/>
        <v>--</v>
      </c>
      <c r="N20" s="29">
        <f>'2009-2010'!AF11</f>
        <v>0</v>
      </c>
      <c r="O20" s="30">
        <f>'2009-2010'!N37</f>
        <v>0</v>
      </c>
      <c r="P20" s="31" t="str">
        <f t="shared" si="4"/>
        <v>--</v>
      </c>
    </row>
    <row r="21" spans="1:16" ht="12.75" customHeight="1" hidden="1">
      <c r="A21" s="28" t="s">
        <v>25</v>
      </c>
      <c r="B21" s="29">
        <f>'2009-2010'!T12</f>
        <v>38</v>
      </c>
      <c r="C21" s="30">
        <f>'2009-2010'!B38</f>
        <v>0</v>
      </c>
      <c r="D21" s="31" t="str">
        <f t="shared" si="0"/>
        <v>--</v>
      </c>
      <c r="E21" s="29">
        <f>'2009-2010'!W12</f>
        <v>0</v>
      </c>
      <c r="F21" s="30">
        <f>'2009-2010'!E38</f>
        <v>0</v>
      </c>
      <c r="G21" s="31" t="str">
        <f t="shared" si="1"/>
        <v>--</v>
      </c>
      <c r="H21" s="29">
        <f>'2009-2010'!Z12</f>
        <v>0</v>
      </c>
      <c r="I21" s="30">
        <f>'2009-2010'!H38</f>
        <v>0</v>
      </c>
      <c r="J21" s="32" t="str">
        <f t="shared" si="2"/>
        <v>--</v>
      </c>
      <c r="K21" s="29">
        <f>'2009-2010'!AC12</f>
        <v>33</v>
      </c>
      <c r="L21" s="30">
        <f>'2009-2010'!K38</f>
        <v>0</v>
      </c>
      <c r="M21" s="31" t="str">
        <f t="shared" si="3"/>
        <v>--</v>
      </c>
      <c r="N21" s="29">
        <f>'2009-2010'!AF12</f>
        <v>0</v>
      </c>
      <c r="O21" s="30">
        <f>'2009-2010'!N38</f>
        <v>0</v>
      </c>
      <c r="P21" s="31" t="str">
        <f t="shared" si="4"/>
        <v>--</v>
      </c>
    </row>
    <row r="22" spans="1:16" ht="15" customHeight="1">
      <c r="A22" s="28" t="s">
        <v>26</v>
      </c>
      <c r="B22" s="29">
        <f>'2009-2010'!T8</f>
        <v>80</v>
      </c>
      <c r="C22" s="30">
        <f>'2009-2010'!B8</f>
        <v>74</v>
      </c>
      <c r="D22" s="31" t="str">
        <f t="shared" si="0"/>
        <v>8,1</v>
      </c>
      <c r="E22" s="29">
        <f>'2009-2010'!U8</f>
        <v>5282250</v>
      </c>
      <c r="F22" s="30">
        <f>'2009-2010'!C8</f>
        <v>3651500</v>
      </c>
      <c r="G22" s="31" t="str">
        <f t="shared" si="1"/>
        <v>44,7</v>
      </c>
      <c r="H22" s="29">
        <f>'2009-2010'!V8</f>
        <v>13</v>
      </c>
      <c r="I22" s="30">
        <f>'2009-2010'!D8</f>
        <v>9</v>
      </c>
      <c r="J22" s="32" t="str">
        <f t="shared" si="2"/>
        <v>44,4</v>
      </c>
      <c r="K22" s="29">
        <f>'2009-2010'!W8</f>
        <v>9</v>
      </c>
      <c r="L22" s="30">
        <f>'2009-2010'!E8</f>
        <v>3</v>
      </c>
      <c r="M22" s="31" t="str">
        <f t="shared" si="3"/>
        <v>200,0</v>
      </c>
      <c r="N22" s="29">
        <f>'2009-2010'!X8</f>
        <v>33</v>
      </c>
      <c r="O22" s="30">
        <f>'2009-2010'!F8</f>
        <v>17</v>
      </c>
      <c r="P22" s="31" t="str">
        <f t="shared" si="4"/>
        <v>94,1</v>
      </c>
    </row>
    <row r="23" spans="1:16" ht="12.75" customHeight="1" hidden="1">
      <c r="A23" s="28" t="s">
        <v>27</v>
      </c>
      <c r="B23" s="29">
        <f>'2009-2010'!T14</f>
        <v>37</v>
      </c>
      <c r="C23" s="30">
        <f>'2009-2010'!B40</f>
        <v>4</v>
      </c>
      <c r="D23" s="31" t="str">
        <f t="shared" si="0"/>
        <v>825,0</v>
      </c>
      <c r="E23" s="29">
        <f>'2009-2010'!W14</f>
        <v>2</v>
      </c>
      <c r="F23" s="30">
        <f>'2009-2010'!E40</f>
        <v>0</v>
      </c>
      <c r="G23" s="31" t="str">
        <f t="shared" si="1"/>
        <v>--</v>
      </c>
      <c r="H23" s="29">
        <f>'2009-2010'!Z14</f>
        <v>2</v>
      </c>
      <c r="I23" s="30">
        <f>'2009-2010'!H40</f>
        <v>0</v>
      </c>
      <c r="J23" s="32" t="str">
        <f t="shared" si="2"/>
        <v>--</v>
      </c>
      <c r="K23" s="29">
        <f>'2009-2010'!AC14</f>
        <v>29</v>
      </c>
      <c r="L23" s="30">
        <f>'2009-2010'!K40</f>
        <v>1</v>
      </c>
      <c r="M23" s="31" t="str">
        <f t="shared" si="3"/>
        <v>2800,0</v>
      </c>
      <c r="N23" s="29">
        <f>'2009-2010'!AF14</f>
        <v>0</v>
      </c>
      <c r="O23" s="30">
        <f>'2009-2010'!N40</f>
        <v>0</v>
      </c>
      <c r="P23" s="31" t="str">
        <f t="shared" si="4"/>
        <v>--</v>
      </c>
    </row>
    <row r="24" spans="1:16" ht="15" customHeight="1">
      <c r="A24" s="28" t="s">
        <v>28</v>
      </c>
      <c r="B24" s="29">
        <f>'2009-2010'!T9</f>
        <v>28</v>
      </c>
      <c r="C24" s="30">
        <f>'2009-2010'!B9</f>
        <v>29</v>
      </c>
      <c r="D24" s="31" t="str">
        <f t="shared" si="0"/>
        <v>-3,4</v>
      </c>
      <c r="E24" s="29">
        <f>'2009-2010'!U9</f>
        <v>6549623</v>
      </c>
      <c r="F24" s="30">
        <f>'2009-2010'!C9</f>
        <v>1344000</v>
      </c>
      <c r="G24" s="31" t="str">
        <f t="shared" si="1"/>
        <v>387,3</v>
      </c>
      <c r="H24" s="29">
        <f>'2009-2010'!V9</f>
        <v>1</v>
      </c>
      <c r="I24" s="30">
        <f>'2009-2010'!D9</f>
        <v>2</v>
      </c>
      <c r="J24" s="32" t="str">
        <f t="shared" si="2"/>
        <v>-50,0</v>
      </c>
      <c r="K24" s="29">
        <f>'2009-2010'!W9</f>
        <v>1</v>
      </c>
      <c r="L24" s="30">
        <f>'2009-2010'!E9</f>
        <v>0</v>
      </c>
      <c r="M24" s="31" t="str">
        <f t="shared" si="3"/>
        <v>--</v>
      </c>
      <c r="N24" s="29">
        <f>'2009-2010'!X9</f>
        <v>15</v>
      </c>
      <c r="O24" s="30">
        <f>'2009-2010'!F9</f>
        <v>0</v>
      </c>
      <c r="P24" s="31" t="str">
        <f t="shared" si="4"/>
        <v>--</v>
      </c>
    </row>
    <row r="25" spans="1:16" ht="12.75" customHeight="1" hidden="1">
      <c r="A25" s="28" t="s">
        <v>29</v>
      </c>
      <c r="B25" s="29">
        <f>'2009-2010'!T16</f>
        <v>24</v>
      </c>
      <c r="C25" s="30">
        <f>'2009-2010'!B42</f>
        <v>1</v>
      </c>
      <c r="D25" s="31" t="str">
        <f t="shared" si="0"/>
        <v>2300,0</v>
      </c>
      <c r="E25" s="29">
        <f>'2009-2010'!W16</f>
        <v>0</v>
      </c>
      <c r="F25" s="30">
        <f>'2009-2010'!E42</f>
        <v>0</v>
      </c>
      <c r="G25" s="31" t="str">
        <f t="shared" si="1"/>
        <v>--</v>
      </c>
      <c r="H25" s="29">
        <f>'2009-2010'!Z16</f>
        <v>1</v>
      </c>
      <c r="I25" s="30">
        <f>'2009-2010'!H42</f>
        <v>0</v>
      </c>
      <c r="J25" s="32" t="str">
        <f t="shared" si="2"/>
        <v>--</v>
      </c>
      <c r="K25" s="29">
        <f>'2009-2010'!AC16</f>
        <v>16</v>
      </c>
      <c r="L25" s="30">
        <f>'2009-2010'!K42</f>
        <v>0</v>
      </c>
      <c r="M25" s="31" t="str">
        <f t="shared" si="3"/>
        <v>--</v>
      </c>
      <c r="N25" s="29">
        <f>'2009-2010'!AF16</f>
        <v>0</v>
      </c>
      <c r="O25" s="30">
        <f>'2009-2010'!N42</f>
        <v>0</v>
      </c>
      <c r="P25" s="31" t="str">
        <f t="shared" si="4"/>
        <v>--</v>
      </c>
    </row>
    <row r="26" spans="1:16" ht="15" customHeight="1">
      <c r="A26" s="28" t="s">
        <v>30</v>
      </c>
      <c r="B26" s="29">
        <f>'2009-2010'!T10</f>
        <v>20</v>
      </c>
      <c r="C26" s="30">
        <f>'2009-2010'!B10</f>
        <v>25</v>
      </c>
      <c r="D26" s="31" t="str">
        <f t="shared" si="0"/>
        <v>-20,0</v>
      </c>
      <c r="E26" s="29">
        <f>'2009-2010'!U10</f>
        <v>1363500</v>
      </c>
      <c r="F26" s="30">
        <f>'2009-2010'!C10</f>
        <v>705651</v>
      </c>
      <c r="G26" s="31" t="str">
        <f t="shared" si="1"/>
        <v>93,2</v>
      </c>
      <c r="H26" s="29">
        <f>'2009-2010'!V10</f>
        <v>1</v>
      </c>
      <c r="I26" s="30">
        <f>'2009-2010'!D10</f>
        <v>5</v>
      </c>
      <c r="J26" s="32" t="str">
        <f t="shared" si="2"/>
        <v>-80,0</v>
      </c>
      <c r="K26" s="29">
        <f>'2009-2010'!W10</f>
        <v>0</v>
      </c>
      <c r="L26" s="30">
        <f>'2009-2010'!E10</f>
        <v>0</v>
      </c>
      <c r="M26" s="31" t="str">
        <f t="shared" si="3"/>
        <v>--</v>
      </c>
      <c r="N26" s="29">
        <f>'2009-2010'!X10</f>
        <v>1</v>
      </c>
      <c r="O26" s="30">
        <f>'2009-2010'!F10</f>
        <v>3</v>
      </c>
      <c r="P26" s="31" t="str">
        <f t="shared" si="4"/>
        <v>-66,7</v>
      </c>
    </row>
    <row r="27" spans="1:16" ht="12.75" customHeight="1" hidden="1">
      <c r="A27" s="28" t="s">
        <v>31</v>
      </c>
      <c r="B27" s="29">
        <f>'2009-2010'!T42</f>
        <v>2</v>
      </c>
      <c r="C27" s="30">
        <f>'2009-2010'!B42</f>
        <v>1</v>
      </c>
      <c r="D27" s="31" t="str">
        <f t="shared" si="0"/>
        <v>100,0</v>
      </c>
      <c r="E27" s="29">
        <f>'2009-2010'!W18</f>
        <v>7</v>
      </c>
      <c r="F27" s="30">
        <f>'2009-2010'!E44</f>
        <v>0</v>
      </c>
      <c r="G27" s="31" t="str">
        <f t="shared" si="1"/>
        <v>--</v>
      </c>
      <c r="H27" s="29">
        <f>'2009-2010'!Z18</f>
        <v>13</v>
      </c>
      <c r="I27" s="30">
        <f>'2009-2010'!H44</f>
        <v>0</v>
      </c>
      <c r="J27" s="32" t="str">
        <f t="shared" si="2"/>
        <v>--</v>
      </c>
      <c r="K27" s="29">
        <f>'2009-2010'!AC18</f>
        <v>42</v>
      </c>
      <c r="L27" s="30">
        <f>'2009-2010'!K44</f>
        <v>0</v>
      </c>
      <c r="M27" s="31" t="str">
        <f t="shared" si="3"/>
        <v>--</v>
      </c>
      <c r="N27" s="29">
        <f>'2009-2010'!AF18</f>
        <v>0</v>
      </c>
      <c r="O27" s="30">
        <f>'2009-2010'!N44</f>
        <v>0</v>
      </c>
      <c r="P27" s="31" t="str">
        <f t="shared" si="4"/>
        <v>--</v>
      </c>
    </row>
    <row r="28" spans="1:16" ht="15" customHeight="1">
      <c r="A28" s="28" t="s">
        <v>32</v>
      </c>
      <c r="B28" s="29">
        <f>'2009-2010'!T11</f>
        <v>15</v>
      </c>
      <c r="C28" s="30">
        <f>'2009-2010'!B11</f>
        <v>26</v>
      </c>
      <c r="D28" s="31" t="str">
        <f t="shared" si="0"/>
        <v>-42,3</v>
      </c>
      <c r="E28" s="29">
        <f>'2009-2010'!U11</f>
        <v>638500</v>
      </c>
      <c r="F28" s="30">
        <f>'2009-2010'!C11</f>
        <v>1488804</v>
      </c>
      <c r="G28" s="31" t="str">
        <f t="shared" si="1"/>
        <v>-57,1</v>
      </c>
      <c r="H28" s="29">
        <f>'2009-2010'!V11</f>
        <v>1</v>
      </c>
      <c r="I28" s="30">
        <f>'2009-2010'!D11</f>
        <v>3</v>
      </c>
      <c r="J28" s="32" t="str">
        <f t="shared" si="2"/>
        <v>-66,7</v>
      </c>
      <c r="K28" s="29">
        <f>'2009-2010'!W11</f>
        <v>1</v>
      </c>
      <c r="L28" s="30">
        <f>'2009-2010'!E11</f>
        <v>1</v>
      </c>
      <c r="M28" s="31" t="str">
        <f t="shared" si="3"/>
        <v>0,0</v>
      </c>
      <c r="N28" s="29">
        <f>'2009-2010'!X11</f>
        <v>0</v>
      </c>
      <c r="O28" s="30">
        <f>'2009-2010'!F11</f>
        <v>4</v>
      </c>
      <c r="P28" s="31" t="str">
        <f t="shared" si="4"/>
        <v>-100,0</v>
      </c>
    </row>
    <row r="29" spans="1:16" ht="12.75" customHeight="1" hidden="1">
      <c r="A29" s="28" t="s">
        <v>33</v>
      </c>
      <c r="B29" s="29">
        <f>'2009-2010'!T20</f>
        <v>44</v>
      </c>
      <c r="C29" s="30">
        <f>'2009-2010'!B46</f>
        <v>0</v>
      </c>
      <c r="D29" s="31" t="str">
        <f t="shared" si="0"/>
        <v>--</v>
      </c>
      <c r="E29" s="29">
        <f>'2009-2010'!W20</f>
        <v>2</v>
      </c>
      <c r="F29" s="30">
        <f>'2009-2010'!E46</f>
        <v>0</v>
      </c>
      <c r="G29" s="31" t="str">
        <f t="shared" si="1"/>
        <v>--</v>
      </c>
      <c r="H29" s="29">
        <f>'2009-2010'!Z20</f>
        <v>3</v>
      </c>
      <c r="I29" s="30">
        <f>'2009-2010'!H46</f>
        <v>0</v>
      </c>
      <c r="J29" s="32" t="str">
        <f t="shared" si="2"/>
        <v>--</v>
      </c>
      <c r="K29" s="29">
        <f>'2009-2010'!AC20</f>
        <v>25</v>
      </c>
      <c r="L29" s="30">
        <f>'2009-2010'!K46</f>
        <v>0</v>
      </c>
      <c r="M29" s="31" t="str">
        <f t="shared" si="3"/>
        <v>--</v>
      </c>
      <c r="N29" s="29">
        <f>'2009-2010'!AF20</f>
        <v>2</v>
      </c>
      <c r="O29" s="30">
        <f>'2009-2010'!N46</f>
        <v>0</v>
      </c>
      <c r="P29" s="31" t="str">
        <f t="shared" si="4"/>
        <v>--</v>
      </c>
    </row>
    <row r="30" spans="1:16" ht="15" customHeight="1">
      <c r="A30" s="28" t="s">
        <v>34</v>
      </c>
      <c r="B30" s="29">
        <f>'2009-2010'!T12</f>
        <v>38</v>
      </c>
      <c r="C30" s="30">
        <f>'2009-2010'!B12</f>
        <v>30</v>
      </c>
      <c r="D30" s="31" t="str">
        <f t="shared" si="0"/>
        <v>26,7</v>
      </c>
      <c r="E30" s="29">
        <f>'2009-2010'!U12</f>
        <v>2475000</v>
      </c>
      <c r="F30" s="30">
        <f>'2009-2010'!C12</f>
        <v>1663500</v>
      </c>
      <c r="G30" s="31" t="str">
        <f t="shared" si="1"/>
        <v>48,8</v>
      </c>
      <c r="H30" s="29">
        <f>'2009-2010'!V12</f>
        <v>1</v>
      </c>
      <c r="I30" s="30">
        <f>'2009-2010'!D12</f>
        <v>7</v>
      </c>
      <c r="J30" s="32" t="str">
        <f t="shared" si="2"/>
        <v>-85,7</v>
      </c>
      <c r="K30" s="29">
        <f>'2009-2010'!W12</f>
        <v>0</v>
      </c>
      <c r="L30" s="30">
        <f>'2009-2010'!E12</f>
        <v>2</v>
      </c>
      <c r="M30" s="31" t="str">
        <f t="shared" si="3"/>
        <v>-100,0</v>
      </c>
      <c r="N30" s="29">
        <f>'2009-2010'!X12</f>
        <v>3</v>
      </c>
      <c r="O30" s="30">
        <f>'2009-2010'!F12</f>
        <v>1</v>
      </c>
      <c r="P30" s="31" t="str">
        <f t="shared" si="4"/>
        <v>200,0</v>
      </c>
    </row>
    <row r="31" spans="1:16" ht="12.75" customHeight="1" hidden="1">
      <c r="A31" s="28" t="s">
        <v>35</v>
      </c>
      <c r="B31" s="29">
        <f>'2009-2010'!T22</f>
        <v>21</v>
      </c>
      <c r="C31" s="30">
        <f>'2009-2010'!B48</f>
        <v>3</v>
      </c>
      <c r="D31" s="31" t="str">
        <f t="shared" si="0"/>
        <v>600,0</v>
      </c>
      <c r="E31" s="29">
        <f>'2009-2010'!W22</f>
        <v>1</v>
      </c>
      <c r="F31" s="30">
        <f>'2009-2010'!E48</f>
        <v>0</v>
      </c>
      <c r="G31" s="31" t="str">
        <f t="shared" si="1"/>
        <v>--</v>
      </c>
      <c r="H31" s="29">
        <f>'2009-2010'!Z22</f>
        <v>1</v>
      </c>
      <c r="I31" s="30">
        <f>'2009-2010'!H48</f>
        <v>0</v>
      </c>
      <c r="J31" s="32" t="str">
        <f t="shared" si="2"/>
        <v>--</v>
      </c>
      <c r="K31" s="29">
        <f>'2009-2010'!AC22</f>
        <v>1</v>
      </c>
      <c r="L31" s="30">
        <f>'2009-2010'!K48</f>
        <v>0</v>
      </c>
      <c r="M31" s="31" t="str">
        <f t="shared" si="3"/>
        <v>--</v>
      </c>
      <c r="N31" s="29">
        <f>'2009-2010'!AF22</f>
        <v>0</v>
      </c>
      <c r="O31" s="30">
        <f>'2009-2010'!N48</f>
        <v>0</v>
      </c>
      <c r="P31" s="31" t="str">
        <f t="shared" si="4"/>
        <v>--</v>
      </c>
    </row>
    <row r="32" spans="1:16" ht="15" customHeight="1">
      <c r="A32" s="28" t="s">
        <v>36</v>
      </c>
      <c r="B32" s="29">
        <f>'2009-2010'!T13</f>
        <v>36</v>
      </c>
      <c r="C32" s="30">
        <f>'2009-2010'!B13</f>
        <v>38</v>
      </c>
      <c r="D32" s="31" t="str">
        <f t="shared" si="0"/>
        <v>-5,3</v>
      </c>
      <c r="E32" s="29">
        <f>'2009-2010'!U13</f>
        <v>3066000</v>
      </c>
      <c r="F32" s="30">
        <f>'2009-2010'!C13</f>
        <v>2848400</v>
      </c>
      <c r="G32" s="31" t="str">
        <f t="shared" si="1"/>
        <v>7,6</v>
      </c>
      <c r="H32" s="29">
        <f>'2009-2010'!V13</f>
        <v>5</v>
      </c>
      <c r="I32" s="30">
        <f>'2009-2010'!D13</f>
        <v>4</v>
      </c>
      <c r="J32" s="32" t="str">
        <f t="shared" si="2"/>
        <v>25,0</v>
      </c>
      <c r="K32" s="29">
        <f>'2009-2010'!W13</f>
        <v>0</v>
      </c>
      <c r="L32" s="30">
        <f>'2009-2010'!E13</f>
        <v>3</v>
      </c>
      <c r="M32" s="31" t="str">
        <f t="shared" si="3"/>
        <v>-100,0</v>
      </c>
      <c r="N32" s="29">
        <f>'2009-2010'!X13</f>
        <v>1</v>
      </c>
      <c r="O32" s="30">
        <f>'2009-2010'!F13</f>
        <v>1</v>
      </c>
      <c r="P32" s="31" t="str">
        <f t="shared" si="4"/>
        <v>0,0</v>
      </c>
    </row>
    <row r="33" spans="1:16" ht="12.75" customHeight="1" hidden="1">
      <c r="A33" s="28" t="s">
        <v>37</v>
      </c>
      <c r="B33" s="29">
        <f>'2009-2010'!T24</f>
        <v>62</v>
      </c>
      <c r="C33" s="30">
        <f>'2009-2010'!B50</f>
        <v>0</v>
      </c>
      <c r="D33" s="31" t="str">
        <f t="shared" si="0"/>
        <v>--</v>
      </c>
      <c r="E33" s="29">
        <f>'2009-2010'!W24</f>
        <v>10</v>
      </c>
      <c r="F33" s="30">
        <f>'2009-2010'!E50</f>
        <v>0</v>
      </c>
      <c r="G33" s="31" t="str">
        <f t="shared" si="1"/>
        <v>--</v>
      </c>
      <c r="H33" s="29">
        <f>'2009-2010'!Z24</f>
        <v>13</v>
      </c>
      <c r="I33" s="30">
        <f>'2009-2010'!H50</f>
        <v>0</v>
      </c>
      <c r="J33" s="32" t="str">
        <f t="shared" si="2"/>
        <v>--</v>
      </c>
      <c r="K33" s="29">
        <f>'2009-2010'!AC24</f>
        <v>8</v>
      </c>
      <c r="L33" s="30">
        <f>'2009-2010'!K50</f>
        <v>0</v>
      </c>
      <c r="M33" s="31" t="str">
        <f t="shared" si="3"/>
        <v>--</v>
      </c>
      <c r="N33" s="29">
        <f>'2009-2010'!AF24</f>
        <v>0</v>
      </c>
      <c r="O33" s="30">
        <f>'2009-2010'!N50</f>
        <v>0</v>
      </c>
      <c r="P33" s="31" t="str">
        <f t="shared" si="4"/>
        <v>--</v>
      </c>
    </row>
    <row r="34" spans="1:16" ht="15" customHeight="1">
      <c r="A34" s="28" t="s">
        <v>38</v>
      </c>
      <c r="B34" s="29">
        <f>'2009-2010'!T14</f>
        <v>37</v>
      </c>
      <c r="C34" s="30">
        <f>'2009-2010'!B14</f>
        <v>34</v>
      </c>
      <c r="D34" s="31" t="str">
        <f t="shared" si="0"/>
        <v>8,8</v>
      </c>
      <c r="E34" s="29">
        <f>'2009-2010'!U14</f>
        <v>1937300</v>
      </c>
      <c r="F34" s="30">
        <f>'2009-2010'!C14</f>
        <v>1674620</v>
      </c>
      <c r="G34" s="31" t="str">
        <f t="shared" si="1"/>
        <v>15,7</v>
      </c>
      <c r="H34" s="29">
        <f>'2009-2010'!V14</f>
        <v>7</v>
      </c>
      <c r="I34" s="30">
        <f>'2009-2010'!D14</f>
        <v>5</v>
      </c>
      <c r="J34" s="32" t="str">
        <f t="shared" si="2"/>
        <v>40,0</v>
      </c>
      <c r="K34" s="29">
        <f>'2009-2010'!W14</f>
        <v>2</v>
      </c>
      <c r="L34" s="30">
        <f>'2009-2010'!E14</f>
        <v>2</v>
      </c>
      <c r="M34" s="31" t="str">
        <f t="shared" si="3"/>
        <v>0,0</v>
      </c>
      <c r="N34" s="29">
        <f>'2009-2010'!X14</f>
        <v>2</v>
      </c>
      <c r="O34" s="30">
        <f>'2009-2010'!F14</f>
        <v>10</v>
      </c>
      <c r="P34" s="31" t="str">
        <f t="shared" si="4"/>
        <v>-80,0</v>
      </c>
    </row>
    <row r="35" spans="1:16" ht="12.75" customHeight="1" hidden="1">
      <c r="A35" s="28" t="s">
        <v>39</v>
      </c>
      <c r="B35" s="29">
        <f>'2009-2010'!T45</f>
        <v>1</v>
      </c>
      <c r="C35" s="30">
        <f>'2009-2010'!B45</f>
        <v>3</v>
      </c>
      <c r="D35" s="31" t="str">
        <f t="shared" si="0"/>
        <v>-66,7</v>
      </c>
      <c r="E35" s="29">
        <f>'2009-2010'!W26</f>
        <v>23</v>
      </c>
      <c r="F35" s="30">
        <f>'2009-2010'!E52</f>
        <v>0</v>
      </c>
      <c r="G35" s="31" t="str">
        <f t="shared" si="1"/>
        <v>--</v>
      </c>
      <c r="H35" s="29">
        <f>'2009-2010'!Z26</f>
        <v>16</v>
      </c>
      <c r="I35" s="30">
        <f>'2009-2010'!H52</f>
        <v>1</v>
      </c>
      <c r="J35" s="32" t="str">
        <f t="shared" si="2"/>
        <v>1500,0</v>
      </c>
      <c r="K35" s="29">
        <f>'2009-2010'!AC26</f>
        <v>14</v>
      </c>
      <c r="L35" s="30">
        <f>'2009-2010'!K52</f>
        <v>0</v>
      </c>
      <c r="M35" s="31" t="str">
        <f t="shared" si="3"/>
        <v>--</v>
      </c>
      <c r="N35" s="29">
        <f>'2009-2010'!AF26</f>
        <v>0</v>
      </c>
      <c r="O35" s="30">
        <f>'2009-2010'!N52</f>
        <v>0</v>
      </c>
      <c r="P35" s="31" t="str">
        <f t="shared" si="4"/>
        <v>--</v>
      </c>
    </row>
    <row r="36" spans="1:16" ht="12.75" customHeight="1" hidden="1">
      <c r="A36" s="28" t="s">
        <v>40</v>
      </c>
      <c r="B36" s="29">
        <f>'2009-2010'!T46</f>
        <v>0</v>
      </c>
      <c r="C36" s="30">
        <f>'2009-2010'!B46</f>
        <v>0</v>
      </c>
      <c r="D36" s="31" t="str">
        <f t="shared" si="0"/>
        <v>--</v>
      </c>
      <c r="E36" s="29">
        <f>'2009-2010'!W27</f>
        <v>8</v>
      </c>
      <c r="F36" s="30">
        <f>'2009-2010'!E53</f>
        <v>96</v>
      </c>
      <c r="G36" s="31" t="str">
        <f t="shared" si="1"/>
        <v>-91,7</v>
      </c>
      <c r="H36" s="29">
        <f>'2009-2010'!Z27</f>
        <v>10</v>
      </c>
      <c r="I36" s="30">
        <f>'2009-2010'!H53</f>
        <v>139</v>
      </c>
      <c r="J36" s="32" t="str">
        <f t="shared" si="2"/>
        <v>-92,8</v>
      </c>
      <c r="K36" s="29">
        <f>'2009-2010'!AC27</f>
        <v>3</v>
      </c>
      <c r="L36" s="30">
        <f>'2009-2010'!K53</f>
        <v>533</v>
      </c>
      <c r="M36" s="31" t="str">
        <f t="shared" si="3"/>
        <v>-99,4</v>
      </c>
      <c r="N36" s="29">
        <f>'2009-2010'!AF27</f>
        <v>0</v>
      </c>
      <c r="O36" s="30">
        <f>'2009-2010'!N53</f>
        <v>39</v>
      </c>
      <c r="P36" s="31" t="str">
        <f t="shared" si="4"/>
        <v>-100,0</v>
      </c>
    </row>
    <row r="37" spans="1:16" s="2" customFormat="1" ht="15" customHeight="1">
      <c r="A37" s="39" t="s">
        <v>41</v>
      </c>
      <c r="B37" s="40">
        <f>'2009-2010'!T27</f>
        <v>41</v>
      </c>
      <c r="C37" s="41">
        <f>'2009-2010'!B27</f>
        <v>49</v>
      </c>
      <c r="D37" s="32" t="str">
        <f t="shared" si="0"/>
        <v>-16,3</v>
      </c>
      <c r="E37" s="40">
        <f>'2009-2010'!U27</f>
        <v>1006600</v>
      </c>
      <c r="F37" s="41">
        <f>'2009-2010'!C27</f>
        <v>1958963</v>
      </c>
      <c r="G37" s="32" t="str">
        <f t="shared" si="1"/>
        <v>-48,6</v>
      </c>
      <c r="H37" s="40">
        <f>'2009-2010'!V27</f>
        <v>0</v>
      </c>
      <c r="I37" s="41">
        <f>'2009-2010'!D27</f>
        <v>2</v>
      </c>
      <c r="J37" s="32" t="str">
        <f t="shared" si="2"/>
        <v>-100,0</v>
      </c>
      <c r="K37" s="40">
        <f>'2009-2010'!W27</f>
        <v>8</v>
      </c>
      <c r="L37" s="41">
        <f>'2009-2010'!E27</f>
        <v>9</v>
      </c>
      <c r="M37" s="32" t="str">
        <f t="shared" si="3"/>
        <v>-11,1</v>
      </c>
      <c r="N37" s="40">
        <f>'2009-2010'!X27</f>
        <v>39</v>
      </c>
      <c r="O37" s="41">
        <f>'2009-2010'!F27</f>
        <v>111</v>
      </c>
      <c r="P37" s="32" t="str">
        <f t="shared" si="4"/>
        <v>-64,9</v>
      </c>
    </row>
    <row r="38" spans="1:16" ht="15" customHeight="1">
      <c r="A38" s="28" t="s">
        <v>42</v>
      </c>
      <c r="B38" s="29">
        <f>'2009-2010'!T15</f>
        <v>21</v>
      </c>
      <c r="C38" s="30">
        <f>'2009-2010'!B15</f>
        <v>19</v>
      </c>
      <c r="D38" s="31" t="str">
        <f t="shared" si="0"/>
        <v>10,5</v>
      </c>
      <c r="E38" s="29">
        <f>'2009-2010'!U15</f>
        <v>2113500</v>
      </c>
      <c r="F38" s="30">
        <f>'2009-2010'!C15</f>
        <v>897200</v>
      </c>
      <c r="G38" s="31" t="str">
        <f t="shared" si="1"/>
        <v>135,6</v>
      </c>
      <c r="H38" s="29">
        <f>'2009-2010'!V15</f>
        <v>4</v>
      </c>
      <c r="I38" s="30">
        <f>'2009-2010'!D15</f>
        <v>3</v>
      </c>
      <c r="J38" s="32" t="str">
        <f t="shared" si="2"/>
        <v>33,3</v>
      </c>
      <c r="K38" s="29">
        <f>'2009-2010'!W15</f>
        <v>0</v>
      </c>
      <c r="L38" s="30">
        <f>'2009-2010'!E15</f>
        <v>2</v>
      </c>
      <c r="M38" s="31" t="str">
        <f t="shared" si="3"/>
        <v>-100,0</v>
      </c>
      <c r="N38" s="29">
        <f>'2009-2010'!X15</f>
        <v>0</v>
      </c>
      <c r="O38" s="30">
        <f>'2009-2010'!F15</f>
        <v>3</v>
      </c>
      <c r="P38" s="31" t="str">
        <f t="shared" si="4"/>
        <v>-100,0</v>
      </c>
    </row>
    <row r="39" spans="1:16" ht="12.75" customHeight="1" hidden="1">
      <c r="A39" s="28" t="s">
        <v>43</v>
      </c>
      <c r="B39" s="29">
        <f>'2009-2010'!T30</f>
        <v>30</v>
      </c>
      <c r="C39" s="30">
        <f>'2009-2010'!B56</f>
        <v>2</v>
      </c>
      <c r="D39" s="31" t="str">
        <f t="shared" si="0"/>
        <v>1400,0</v>
      </c>
      <c r="E39" s="29">
        <f>'2009-2010'!W30</f>
        <v>4</v>
      </c>
      <c r="F39" s="30">
        <f>'2009-2010'!E56</f>
        <v>1</v>
      </c>
      <c r="G39" s="31" t="str">
        <f t="shared" si="1"/>
        <v>300,0</v>
      </c>
      <c r="H39" s="29">
        <f>'2009-2010'!Z30</f>
        <v>1</v>
      </c>
      <c r="I39" s="30">
        <f>'2009-2010'!H56</f>
        <v>0</v>
      </c>
      <c r="J39" s="32" t="str">
        <f t="shared" si="2"/>
        <v>--</v>
      </c>
      <c r="K39" s="29">
        <f>'2009-2010'!AC30</f>
        <v>4</v>
      </c>
      <c r="L39" s="30">
        <f>'2009-2010'!K56</f>
        <v>0</v>
      </c>
      <c r="M39" s="31" t="str">
        <f t="shared" si="3"/>
        <v>--</v>
      </c>
      <c r="N39" s="29">
        <f>'2009-2010'!AF30</f>
        <v>0</v>
      </c>
      <c r="O39" s="30">
        <f>'2009-2010'!N56</f>
        <v>0</v>
      </c>
      <c r="P39" s="31" t="str">
        <f t="shared" si="4"/>
        <v>--</v>
      </c>
    </row>
    <row r="40" spans="1:16" ht="15" customHeight="1">
      <c r="A40" s="28" t="s">
        <v>44</v>
      </c>
      <c r="B40" s="29">
        <f>'2009-2010'!T16</f>
        <v>24</v>
      </c>
      <c r="C40" s="30">
        <f>'2009-2010'!B16</f>
        <v>33</v>
      </c>
      <c r="D40" s="42" t="str">
        <f t="shared" si="0"/>
        <v>-27,3</v>
      </c>
      <c r="E40" s="29">
        <f>'2009-2010'!U16</f>
        <v>1185000</v>
      </c>
      <c r="F40" s="30">
        <f>'2009-2010'!C16</f>
        <v>3056400</v>
      </c>
      <c r="G40" s="31" t="str">
        <f t="shared" si="1"/>
        <v>-61,2</v>
      </c>
      <c r="H40" s="29">
        <f>'2009-2010'!V16</f>
        <v>7</v>
      </c>
      <c r="I40" s="30">
        <f>'2009-2010'!D16</f>
        <v>2</v>
      </c>
      <c r="J40" s="32" t="str">
        <f t="shared" si="2"/>
        <v>250,0</v>
      </c>
      <c r="K40" s="29">
        <f>'2009-2010'!W16</f>
        <v>0</v>
      </c>
      <c r="L40" s="30">
        <f>'2009-2010'!E16</f>
        <v>1</v>
      </c>
      <c r="M40" s="31" t="str">
        <f t="shared" si="3"/>
        <v>-100,0</v>
      </c>
      <c r="N40" s="29">
        <f>'2009-2010'!X16</f>
        <v>1</v>
      </c>
      <c r="O40" s="30">
        <f>'2009-2010'!F16</f>
        <v>1</v>
      </c>
      <c r="P40" s="31" t="str">
        <f t="shared" si="4"/>
        <v>0,0</v>
      </c>
    </row>
    <row r="41" spans="1:16" ht="12.75" customHeight="1" hidden="1">
      <c r="A41" s="28" t="s">
        <v>45</v>
      </c>
      <c r="B41" s="29">
        <f>'2009-2010'!T32</f>
        <v>13</v>
      </c>
      <c r="C41" s="30">
        <f>'2009-2010'!B58</f>
        <v>0</v>
      </c>
      <c r="D41" s="31" t="str">
        <f t="shared" si="0"/>
        <v>--</v>
      </c>
      <c r="E41" s="29">
        <f>'2009-2010'!W32</f>
        <v>0</v>
      </c>
      <c r="F41" s="30">
        <f>'2009-2010'!E58</f>
        <v>0</v>
      </c>
      <c r="G41" s="31" t="str">
        <f t="shared" si="1"/>
        <v>--</v>
      </c>
      <c r="H41" s="29">
        <f>'2009-2010'!Z32</f>
        <v>2</v>
      </c>
      <c r="I41" s="30">
        <f>'2009-2010'!H58</f>
        <v>0</v>
      </c>
      <c r="J41" s="32" t="str">
        <f t="shared" si="2"/>
        <v>--</v>
      </c>
      <c r="K41" s="29">
        <f>'2009-2010'!AC32</f>
        <v>2</v>
      </c>
      <c r="L41" s="30">
        <f>'2009-2010'!K58</f>
        <v>0</v>
      </c>
      <c r="M41" s="31" t="str">
        <f t="shared" si="3"/>
        <v>--</v>
      </c>
      <c r="N41" s="29">
        <f>'2009-2010'!AF32</f>
        <v>0</v>
      </c>
      <c r="O41" s="30">
        <f>'2009-2010'!N58</f>
        <v>0</v>
      </c>
      <c r="P41" s="31" t="str">
        <f t="shared" si="4"/>
        <v>--</v>
      </c>
    </row>
    <row r="42" spans="1:16" s="624" customFormat="1" ht="15" customHeight="1">
      <c r="A42" s="620" t="s">
        <v>46</v>
      </c>
      <c r="B42" s="621">
        <f>'2009-2010'!T17</f>
        <v>52</v>
      </c>
      <c r="C42" s="622">
        <f>'2009-2010'!B17</f>
        <v>38</v>
      </c>
      <c r="D42" s="623" t="str">
        <f t="shared" si="0"/>
        <v>36,8</v>
      </c>
      <c r="E42" s="621">
        <f>'2009-2010'!U17</f>
        <v>3368000</v>
      </c>
      <c r="F42" s="622">
        <f>'2009-2010'!C17</f>
        <v>1751500</v>
      </c>
      <c r="G42" s="623" t="str">
        <f t="shared" si="1"/>
        <v>92,3</v>
      </c>
      <c r="H42" s="621">
        <f>'2009-2010'!V17</f>
        <v>6</v>
      </c>
      <c r="I42" s="622">
        <f>'2009-2010'!D17</f>
        <v>4</v>
      </c>
      <c r="J42" s="623" t="str">
        <f t="shared" si="2"/>
        <v>50,0</v>
      </c>
      <c r="K42" s="621">
        <f>'2009-2010'!W17</f>
        <v>7</v>
      </c>
      <c r="L42" s="622">
        <f>'2009-2010'!E17</f>
        <v>2</v>
      </c>
      <c r="M42" s="623" t="str">
        <f t="shared" si="3"/>
        <v>250,0</v>
      </c>
      <c r="N42" s="621">
        <f>'2009-2010'!X17</f>
        <v>34</v>
      </c>
      <c r="O42" s="622">
        <f>'2009-2010'!F17</f>
        <v>12</v>
      </c>
      <c r="P42" s="623" t="str">
        <f t="shared" si="4"/>
        <v>183,3</v>
      </c>
    </row>
    <row r="43" spans="1:16" ht="12.75" customHeight="1" hidden="1">
      <c r="A43" s="28" t="s">
        <v>47</v>
      </c>
      <c r="B43" s="29">
        <f>'2009-2010'!T34</f>
        <v>13</v>
      </c>
      <c r="C43" s="30">
        <f>'2009-2010'!B34</f>
        <v>2</v>
      </c>
      <c r="D43" s="31" t="str">
        <f t="shared" si="0"/>
        <v>550,0</v>
      </c>
      <c r="E43" s="29">
        <f>'2009-2010'!W34</f>
        <v>3</v>
      </c>
      <c r="F43" s="30">
        <f>'2009-2010'!E60</f>
        <v>2</v>
      </c>
      <c r="G43" s="31" t="str">
        <f t="shared" si="1"/>
        <v>50,0</v>
      </c>
      <c r="H43" s="29">
        <f>'2009-2010'!Z34</f>
        <v>0</v>
      </c>
      <c r="I43" s="30">
        <f>'2009-2010'!H60</f>
        <v>0</v>
      </c>
      <c r="J43" s="32" t="str">
        <f t="shared" si="2"/>
        <v>--</v>
      </c>
      <c r="K43" s="29">
        <f>'2009-2010'!AC34</f>
        <v>1</v>
      </c>
      <c r="L43" s="30">
        <f>'2009-2010'!K60</f>
        <v>2</v>
      </c>
      <c r="M43" s="31" t="str">
        <f t="shared" si="3"/>
        <v>-50,0</v>
      </c>
      <c r="N43" s="29">
        <f>'2009-2010'!AF34</f>
        <v>0</v>
      </c>
      <c r="O43" s="30">
        <f>'2009-2010'!N60</f>
        <v>0</v>
      </c>
      <c r="P43" s="31" t="str">
        <f t="shared" si="4"/>
        <v>--</v>
      </c>
    </row>
    <row r="44" spans="1:16" ht="15" customHeight="1">
      <c r="A44" s="28" t="s">
        <v>48</v>
      </c>
      <c r="B44" s="29">
        <f>'2009-2010'!T18</f>
        <v>85</v>
      </c>
      <c r="C44" s="30">
        <f>'2009-2010'!B18</f>
        <v>87</v>
      </c>
      <c r="D44" s="31" t="str">
        <f t="shared" si="0"/>
        <v>-2,3</v>
      </c>
      <c r="E44" s="29">
        <f>'2009-2010'!U18</f>
        <v>4954238</v>
      </c>
      <c r="F44" s="30">
        <f>'2009-2010'!C18</f>
        <v>4818131</v>
      </c>
      <c r="G44" s="31" t="str">
        <f t="shared" si="1"/>
        <v>2,8</v>
      </c>
      <c r="H44" s="29">
        <f>'2009-2010'!V18</f>
        <v>5</v>
      </c>
      <c r="I44" s="30">
        <f>'2009-2010'!D18</f>
        <v>8</v>
      </c>
      <c r="J44" s="32" t="str">
        <f t="shared" si="2"/>
        <v>-37,5</v>
      </c>
      <c r="K44" s="29">
        <f>'2009-2010'!W18</f>
        <v>7</v>
      </c>
      <c r="L44" s="30">
        <f>'2009-2010'!E18</f>
        <v>8</v>
      </c>
      <c r="M44" s="31" t="str">
        <f t="shared" si="3"/>
        <v>-12,5</v>
      </c>
      <c r="N44" s="29">
        <f>'2009-2010'!X18</f>
        <v>9</v>
      </c>
      <c r="O44" s="30">
        <f>'2009-2010'!F18</f>
        <v>6</v>
      </c>
      <c r="P44" s="31" t="str">
        <f t="shared" si="4"/>
        <v>50,0</v>
      </c>
    </row>
    <row r="45" spans="1:16" ht="12.75" customHeight="1" hidden="1">
      <c r="A45" s="28" t="s">
        <v>49</v>
      </c>
      <c r="B45" s="29">
        <f>'2009-2010'!T36</f>
        <v>0</v>
      </c>
      <c r="C45" s="30">
        <f>'2009-2010'!B62</f>
        <v>19</v>
      </c>
      <c r="D45" s="31" t="str">
        <f t="shared" si="0"/>
        <v>-100,0</v>
      </c>
      <c r="E45" s="29">
        <f>'2009-2010'!W36</f>
        <v>0</v>
      </c>
      <c r="F45" s="30">
        <f>'2009-2010'!E62</f>
        <v>2</v>
      </c>
      <c r="G45" s="31" t="str">
        <f t="shared" si="1"/>
        <v>-100,0</v>
      </c>
      <c r="H45" s="29">
        <f>'2009-2010'!Z36</f>
        <v>0</v>
      </c>
      <c r="I45" s="30">
        <f>'2009-2010'!H62</f>
        <v>1</v>
      </c>
      <c r="J45" s="32" t="str">
        <f t="shared" si="2"/>
        <v>-100,0</v>
      </c>
      <c r="K45" s="29">
        <f>'2009-2010'!AC36</f>
        <v>0</v>
      </c>
      <c r="L45" s="30">
        <f>'2009-2010'!K62</f>
        <v>1</v>
      </c>
      <c r="M45" s="31" t="str">
        <f t="shared" si="3"/>
        <v>-100,0</v>
      </c>
      <c r="N45" s="29">
        <f>'2009-2010'!AF36</f>
        <v>0</v>
      </c>
      <c r="O45" s="30">
        <f>'2009-2010'!N62</f>
        <v>11</v>
      </c>
      <c r="P45" s="31" t="str">
        <f t="shared" si="4"/>
        <v>-100,0</v>
      </c>
    </row>
    <row r="46" spans="1:16" ht="15" customHeight="1">
      <c r="A46" s="28" t="s">
        <v>50</v>
      </c>
      <c r="B46" s="29">
        <f>'2009-2010'!T19</f>
        <v>14</v>
      </c>
      <c r="C46" s="30">
        <f>'2009-2010'!B19</f>
        <v>10</v>
      </c>
      <c r="D46" s="31" t="str">
        <f t="shared" si="0"/>
        <v>40,0</v>
      </c>
      <c r="E46" s="29">
        <f>'2009-2010'!U19</f>
        <v>1029610</v>
      </c>
      <c r="F46" s="30">
        <f>'2009-2010'!C19</f>
        <v>791000</v>
      </c>
      <c r="G46" s="31" t="str">
        <f t="shared" si="1"/>
        <v>30,2</v>
      </c>
      <c r="H46" s="29">
        <f>'2009-2010'!V19</f>
        <v>0</v>
      </c>
      <c r="I46" s="30">
        <f>'2009-2010'!D19</f>
        <v>1</v>
      </c>
      <c r="J46" s="32" t="str">
        <f t="shared" si="2"/>
        <v>-100,0</v>
      </c>
      <c r="K46" s="29">
        <f>'2009-2010'!W19</f>
        <v>0</v>
      </c>
      <c r="L46" s="30">
        <f>'2009-2010'!E19</f>
        <v>0</v>
      </c>
      <c r="M46" s="31" t="str">
        <f t="shared" si="3"/>
        <v>--</v>
      </c>
      <c r="N46" s="29">
        <f>'2009-2010'!X19</f>
        <v>0</v>
      </c>
      <c r="O46" s="30">
        <f>'2009-2010'!F19</f>
        <v>0</v>
      </c>
      <c r="P46" s="31" t="str">
        <f t="shared" si="4"/>
        <v>--</v>
      </c>
    </row>
    <row r="47" spans="1:16" ht="12.75" customHeight="1" hidden="1">
      <c r="A47" s="28" t="s">
        <v>51</v>
      </c>
      <c r="B47" s="29">
        <f>'2009-2010'!T38</f>
        <v>2</v>
      </c>
      <c r="C47" s="30">
        <f>'2009-2010'!B64</f>
        <v>4</v>
      </c>
      <c r="D47" s="31" t="str">
        <f t="shared" si="0"/>
        <v>-50,0</v>
      </c>
      <c r="E47" s="29">
        <f>'2009-2010'!W38</f>
        <v>0</v>
      </c>
      <c r="F47" s="30">
        <f>'2009-2010'!E64</f>
        <v>4</v>
      </c>
      <c r="G47" s="31" t="str">
        <f t="shared" si="1"/>
        <v>-100,0</v>
      </c>
      <c r="H47" s="29">
        <f>'2009-2010'!Z38</f>
        <v>0</v>
      </c>
      <c r="I47" s="30">
        <f>'2009-2010'!H64</f>
        <v>0</v>
      </c>
      <c r="J47" s="32" t="str">
        <f t="shared" si="2"/>
        <v>--</v>
      </c>
      <c r="K47" s="29">
        <f>'2009-2010'!AC38</f>
        <v>0</v>
      </c>
      <c r="L47" s="30">
        <f>'2009-2010'!K64</f>
        <v>2</v>
      </c>
      <c r="M47" s="31" t="str">
        <f t="shared" si="3"/>
        <v>-100,0</v>
      </c>
      <c r="N47" s="29">
        <f>'2009-2010'!AF38</f>
        <v>0</v>
      </c>
      <c r="O47" s="30">
        <f>'2009-2010'!N64</f>
        <v>0</v>
      </c>
      <c r="P47" s="31" t="str">
        <f t="shared" si="4"/>
        <v>--</v>
      </c>
    </row>
    <row r="48" spans="1:16" ht="15" customHeight="1">
      <c r="A48" s="28" t="s">
        <v>52</v>
      </c>
      <c r="B48" s="29">
        <f>'2009-2010'!T20</f>
        <v>44</v>
      </c>
      <c r="C48" s="30">
        <f>'2009-2010'!B20</f>
        <v>57</v>
      </c>
      <c r="D48" s="31" t="str">
        <f t="shared" si="0"/>
        <v>-22,8</v>
      </c>
      <c r="E48" s="29">
        <f>'2009-2010'!U20</f>
        <v>3230400</v>
      </c>
      <c r="F48" s="30">
        <f>'2009-2010'!C20</f>
        <v>2810131</v>
      </c>
      <c r="G48" s="31" t="str">
        <f t="shared" si="1"/>
        <v>15,0</v>
      </c>
      <c r="H48" s="29">
        <f>'2009-2010'!V20</f>
        <v>3</v>
      </c>
      <c r="I48" s="30">
        <f>'2009-2010'!D20</f>
        <v>8</v>
      </c>
      <c r="J48" s="32" t="str">
        <f t="shared" si="2"/>
        <v>-62,5</v>
      </c>
      <c r="K48" s="29">
        <f>'2009-2010'!W20</f>
        <v>2</v>
      </c>
      <c r="L48" s="30">
        <f>'2009-2010'!E20</f>
        <v>4</v>
      </c>
      <c r="M48" s="31" t="str">
        <f t="shared" si="3"/>
        <v>-50,0</v>
      </c>
      <c r="N48" s="29">
        <f>'2009-2010'!X20</f>
        <v>11</v>
      </c>
      <c r="O48" s="30">
        <f>'2009-2010'!F20</f>
        <v>22</v>
      </c>
      <c r="P48" s="31" t="str">
        <f t="shared" si="4"/>
        <v>-50,0</v>
      </c>
    </row>
    <row r="49" spans="1:16" ht="12.75" customHeight="1" hidden="1">
      <c r="A49" s="28" t="s">
        <v>53</v>
      </c>
      <c r="B49" s="29">
        <f>'2009-2010'!T40</f>
        <v>17</v>
      </c>
      <c r="C49" s="30">
        <f>'2009-2010'!B66</f>
        <v>2</v>
      </c>
      <c r="D49" s="31" t="str">
        <f t="shared" si="0"/>
        <v>750,0</v>
      </c>
      <c r="E49" s="29">
        <f>'2009-2010'!W40</f>
        <v>0</v>
      </c>
      <c r="F49" s="30">
        <f>'2009-2010'!E66</f>
        <v>0</v>
      </c>
      <c r="G49" s="31" t="str">
        <f t="shared" si="1"/>
        <v>--</v>
      </c>
      <c r="H49" s="29">
        <f>'2009-2010'!Z40</f>
        <v>0</v>
      </c>
      <c r="I49" s="30">
        <f>'2009-2010'!H66</f>
        <v>0</v>
      </c>
      <c r="J49" s="32" t="str">
        <f t="shared" si="2"/>
        <v>--</v>
      </c>
      <c r="K49" s="29">
        <f>'2009-2010'!AC40</f>
        <v>8</v>
      </c>
      <c r="L49" s="30">
        <f>'2009-2010'!K66</f>
        <v>0</v>
      </c>
      <c r="M49" s="31" t="str">
        <f t="shared" si="3"/>
        <v>--</v>
      </c>
      <c r="N49" s="29">
        <f>'2009-2010'!AF40</f>
        <v>0</v>
      </c>
      <c r="O49" s="30">
        <f>'2009-2010'!N66</f>
        <v>0</v>
      </c>
      <c r="P49" s="31" t="str">
        <f t="shared" si="4"/>
        <v>--</v>
      </c>
    </row>
    <row r="50" spans="1:16" ht="15" customHeight="1">
      <c r="A50" s="28" t="s">
        <v>54</v>
      </c>
      <c r="B50" s="29">
        <f>'2009-2010'!T21</f>
        <v>39</v>
      </c>
      <c r="C50" s="30">
        <f>'2009-2010'!B21</f>
        <v>46</v>
      </c>
      <c r="D50" s="31" t="str">
        <f t="shared" si="0"/>
        <v>-15,2</v>
      </c>
      <c r="E50" s="29">
        <f>'2009-2010'!U21</f>
        <v>1902500</v>
      </c>
      <c r="F50" s="30">
        <f>'2009-2010'!C21</f>
        <v>2589700</v>
      </c>
      <c r="G50" s="31" t="str">
        <f t="shared" si="1"/>
        <v>-26,5</v>
      </c>
      <c r="H50" s="29">
        <f>'2009-2010'!V21</f>
        <v>2</v>
      </c>
      <c r="I50" s="30">
        <f>'2009-2010'!D21</f>
        <v>5</v>
      </c>
      <c r="J50" s="32" t="str">
        <f t="shared" si="2"/>
        <v>-60,0</v>
      </c>
      <c r="K50" s="29">
        <f>'2009-2010'!W21</f>
        <v>9</v>
      </c>
      <c r="L50" s="30">
        <f>'2009-2010'!E21</f>
        <v>1</v>
      </c>
      <c r="M50" s="31" t="str">
        <f t="shared" si="3"/>
        <v>800,0</v>
      </c>
      <c r="N50" s="29">
        <f>'2009-2010'!X21</f>
        <v>1</v>
      </c>
      <c r="O50" s="30">
        <f>'2009-2010'!F21</f>
        <v>3</v>
      </c>
      <c r="P50" s="31" t="str">
        <f t="shared" si="4"/>
        <v>-66,7</v>
      </c>
    </row>
    <row r="51" spans="1:16" ht="12.75" customHeight="1" hidden="1">
      <c r="A51" s="28" t="s">
        <v>55</v>
      </c>
      <c r="B51" s="29">
        <f>'2009-2010'!T42</f>
        <v>2</v>
      </c>
      <c r="C51" s="30">
        <f>'2009-2010'!B68</f>
        <v>0</v>
      </c>
      <c r="D51" s="31" t="str">
        <f t="shared" si="0"/>
        <v>--</v>
      </c>
      <c r="E51" s="29">
        <f>'2009-2010'!W42</f>
        <v>0</v>
      </c>
      <c r="F51" s="30">
        <f>'2009-2010'!E68</f>
        <v>0</v>
      </c>
      <c r="G51" s="31" t="str">
        <f t="shared" si="1"/>
        <v>--</v>
      </c>
      <c r="H51" s="29">
        <f>'2009-2010'!Z42</f>
        <v>0</v>
      </c>
      <c r="I51" s="30">
        <f>'2009-2010'!H68</f>
        <v>0</v>
      </c>
      <c r="J51" s="32" t="str">
        <f t="shared" si="2"/>
        <v>--</v>
      </c>
      <c r="K51" s="29">
        <f>'2009-2010'!AC42</f>
        <v>0</v>
      </c>
      <c r="L51" s="30">
        <f>'2009-2010'!K68</f>
        <v>0</v>
      </c>
      <c r="M51" s="31" t="str">
        <f t="shared" si="3"/>
        <v>--</v>
      </c>
      <c r="N51" s="29">
        <f>'2009-2010'!AF42</f>
        <v>0</v>
      </c>
      <c r="O51" s="30">
        <f>'2009-2010'!N68</f>
        <v>0</v>
      </c>
      <c r="P51" s="31" t="str">
        <f t="shared" si="4"/>
        <v>--</v>
      </c>
    </row>
    <row r="52" spans="1:16" ht="15" customHeight="1">
      <c r="A52" s="28" t="s">
        <v>56</v>
      </c>
      <c r="B52" s="29">
        <f>'2009-2010'!T22</f>
        <v>21</v>
      </c>
      <c r="C52" s="30">
        <f>'2009-2010'!B22</f>
        <v>18</v>
      </c>
      <c r="D52" s="31" t="str">
        <f t="shared" si="0"/>
        <v>16,7</v>
      </c>
      <c r="E52" s="29">
        <f>'2009-2010'!U22</f>
        <v>802370</v>
      </c>
      <c r="F52" s="30">
        <f>'2009-2010'!C22</f>
        <v>697000</v>
      </c>
      <c r="G52" s="31" t="str">
        <f t="shared" si="1"/>
        <v>15,1</v>
      </c>
      <c r="H52" s="29">
        <f>'2009-2010'!V22</f>
        <v>0</v>
      </c>
      <c r="I52" s="30">
        <f>'2009-2010'!D22</f>
        <v>1</v>
      </c>
      <c r="J52" s="32" t="str">
        <f t="shared" si="2"/>
        <v>-100,0</v>
      </c>
      <c r="K52" s="29">
        <f>'2009-2010'!W22</f>
        <v>1</v>
      </c>
      <c r="L52" s="30">
        <f>'2009-2010'!E22</f>
        <v>2</v>
      </c>
      <c r="M52" s="31" t="str">
        <f t="shared" si="3"/>
        <v>-50,0</v>
      </c>
      <c r="N52" s="29">
        <f>'2009-2010'!X22</f>
        <v>1</v>
      </c>
      <c r="O52" s="30">
        <f>'2009-2010'!F22</f>
        <v>3</v>
      </c>
      <c r="P52" s="31" t="str">
        <f t="shared" si="4"/>
        <v>-66,7</v>
      </c>
    </row>
    <row r="53" spans="1:16" ht="12.75" customHeight="1" hidden="1">
      <c r="A53" s="28" t="s">
        <v>57</v>
      </c>
      <c r="B53" s="29">
        <f>'2009-2010'!T44</f>
        <v>1</v>
      </c>
      <c r="C53" s="30">
        <f>'2009-2010'!B70</f>
        <v>8</v>
      </c>
      <c r="D53" s="31" t="str">
        <f t="shared" si="0"/>
        <v>-87,5</v>
      </c>
      <c r="E53" s="29">
        <f>'2009-2010'!W44</f>
        <v>0</v>
      </c>
      <c r="F53" s="30">
        <f>'2009-2010'!E70</f>
        <v>2</v>
      </c>
      <c r="G53" s="31" t="str">
        <f t="shared" si="1"/>
        <v>-100,0</v>
      </c>
      <c r="H53" s="29">
        <f>'2009-2010'!Z44</f>
        <v>0</v>
      </c>
      <c r="I53" s="30">
        <f>'2009-2010'!H70</f>
        <v>0</v>
      </c>
      <c r="J53" s="32" t="str">
        <f t="shared" si="2"/>
        <v>--</v>
      </c>
      <c r="K53" s="29">
        <f>'2009-2010'!AC44</f>
        <v>0</v>
      </c>
      <c r="L53" s="30">
        <f>'2009-2010'!K70</f>
        <v>2</v>
      </c>
      <c r="M53" s="31" t="str">
        <f t="shared" si="3"/>
        <v>-100,0</v>
      </c>
      <c r="N53" s="29">
        <f>'2009-2010'!AF44</f>
        <v>0</v>
      </c>
      <c r="O53" s="30">
        <f>'2009-2010'!N70</f>
        <v>0</v>
      </c>
      <c r="P53" s="31" t="str">
        <f t="shared" si="4"/>
        <v>--</v>
      </c>
    </row>
    <row r="54" spans="1:16" ht="15" customHeight="1">
      <c r="A54" s="28" t="s">
        <v>58</v>
      </c>
      <c r="B54" s="29">
        <f>'2009-2010'!T23</f>
        <v>17</v>
      </c>
      <c r="C54" s="30">
        <f>'2009-2010'!B23</f>
        <v>19</v>
      </c>
      <c r="D54" s="31" t="str">
        <f t="shared" si="0"/>
        <v>-10,5</v>
      </c>
      <c r="E54" s="29">
        <f>'2009-2010'!U23</f>
        <v>748500</v>
      </c>
      <c r="F54" s="30">
        <f>'2009-2010'!C23</f>
        <v>1249000</v>
      </c>
      <c r="G54" s="31" t="str">
        <f t="shared" si="1"/>
        <v>-40,1</v>
      </c>
      <c r="H54" s="29">
        <f>'2009-2010'!V23</f>
        <v>2</v>
      </c>
      <c r="I54" s="30">
        <f>'2009-2010'!D23</f>
        <v>0</v>
      </c>
      <c r="J54" s="32" t="str">
        <f t="shared" si="2"/>
        <v>--</v>
      </c>
      <c r="K54" s="29">
        <f>'2009-2010'!W23</f>
        <v>0</v>
      </c>
      <c r="L54" s="30">
        <f>'2009-2010'!E23</f>
        <v>0</v>
      </c>
      <c r="M54" s="31" t="str">
        <f t="shared" si="3"/>
        <v>--</v>
      </c>
      <c r="N54" s="29">
        <f>'2009-2010'!X23</f>
        <v>0</v>
      </c>
      <c r="O54" s="30">
        <f>'2009-2010'!F23</f>
        <v>1</v>
      </c>
      <c r="P54" s="31" t="str">
        <f t="shared" si="4"/>
        <v>-100,0</v>
      </c>
    </row>
    <row r="55" spans="1:16" ht="15" hidden="1">
      <c r="A55" s="33" t="s">
        <v>59</v>
      </c>
      <c r="B55" s="43" t="e">
        <f>"#REF!"</f>
        <v>#REF!</v>
      </c>
      <c r="C55" s="44"/>
      <c r="D55" s="36" t="str">
        <f t="shared" si="0"/>
        <v>--</v>
      </c>
      <c r="E55" s="43" t="e">
        <f>"#REF!"</f>
        <v>#REF!</v>
      </c>
      <c r="F55" s="45"/>
      <c r="G55" s="36" t="str">
        <f t="shared" si="1"/>
        <v>--</v>
      </c>
      <c r="H55" s="43" t="e">
        <f>"#REF!"</f>
        <v>#REF!</v>
      </c>
      <c r="I55" s="46"/>
      <c r="J55" s="37" t="str">
        <f t="shared" si="2"/>
        <v>--</v>
      </c>
      <c r="K55" s="43" t="e">
        <f>"#REF!"</f>
        <v>#REF!</v>
      </c>
      <c r="L55" s="44"/>
      <c r="M55" s="36" t="str">
        <f t="shared" si="3"/>
        <v>--</v>
      </c>
      <c r="N55" s="43" t="e">
        <f>"#REF!"</f>
        <v>#REF!</v>
      </c>
      <c r="O55" s="44"/>
      <c r="P55" s="36" t="str">
        <f t="shared" si="4"/>
        <v>--</v>
      </c>
    </row>
    <row r="56" spans="1:16" ht="12.75" customHeight="1" hidden="1">
      <c r="A56" s="47" t="s">
        <v>60</v>
      </c>
      <c r="B56" s="48" t="e">
        <f>B6+B11+B12+B14+B16+B18+B20+B21+B23+B25+B27+B29+B31+B33+B35+B36+B37+B39+B41+B43+B45+B47+B49+B51+B53+B55</f>
        <v>#VALUE!</v>
      </c>
      <c r="C56" s="19">
        <f>C6+C11+C12+C14+C16+C18+C20+C21+C23+C25+C27+C29+C31+C33+C35+C36+C37+C39+C41+C43+C45+C47+C49+C51+C53+C55</f>
        <v>1443</v>
      </c>
      <c r="D56" s="20" t="e">
        <f t="shared" si="0"/>
        <v>#VALUE!</v>
      </c>
      <c r="E56" s="49" t="e">
        <f>E6+E11+E12+E14+E16+E18+E20+E21+E23+E25+E27+E29+E31+E33+E35+E36+E37+E39+E41+E43+E45+E47+E49+E51+E53+E55</f>
        <v>#VALUE!</v>
      </c>
      <c r="F56" s="22">
        <f>F6+F11+F12+F14+F16+F18+F20+F21+F23+F25+F27+F29+F31+F33+F35+F36+F37+F39+F41+F43+F45+F47+F49+F51+F53+F55</f>
        <v>16525627</v>
      </c>
      <c r="G56" s="20" t="e">
        <f t="shared" si="1"/>
        <v>#VALUE!</v>
      </c>
      <c r="H56" s="48" t="e">
        <f>H6+H11+H12+H14+H16+H18+H20+H21+H23+H25+H27+H29+H31+H33+H35+H36+H37+H39+H41+H43+H45+H47+H49+H51+H53+H55</f>
        <v>#VALUE!</v>
      </c>
      <c r="I56" s="19">
        <f>I6+I11+I12+I14+I16+I18+I20+I21+I23+I25+I27+I29+I31+I33+I35+I36+I37+I39+I41+I43+I45+I47+I49+I51+I53+I55</f>
        <v>298</v>
      </c>
      <c r="J56" s="20" t="e">
        <f t="shared" si="2"/>
        <v>#VALUE!</v>
      </c>
      <c r="K56" s="48" t="e">
        <f>K6+K11+K12+K14+K16+K18+K20+K21+K23+K25+K27+K29+K31+K33+K35+K36+K37+K39+K41+K43+K45+K47+K49+K51+K53+K55</f>
        <v>#VALUE!</v>
      </c>
      <c r="L56" s="19">
        <f>L6+L11+L12+L14+L16+L18+L20+L21+L23+L25+L27+L29+L31+L33+L35+L36+L37+L39+L41+L43+L45+L47+L49+L51+L53+L55</f>
        <v>1133</v>
      </c>
      <c r="M56" s="20" t="e">
        <f t="shared" si="3"/>
        <v>#VALUE!</v>
      </c>
      <c r="N56" s="48" t="e">
        <f>N6+N11+N12+N14+N16+N18+N20+N21+N23+N25+N27+N29+N31+N33+N35+N36+N37+N39+N41+N43+N45+N47+N49+N51+N53+N55</f>
        <v>#VALUE!</v>
      </c>
      <c r="O56" s="19">
        <f>O6+O11+O12+O14+O16+O18+O20+O21+O23+O25+O27+O29+O31+O33+O35+O36+O37+O39+O41+O43+O45+O47+O49+O51+O53+O55</f>
        <v>362</v>
      </c>
      <c r="P56" s="20" t="e">
        <f t="shared" si="4"/>
        <v>#VALUE!</v>
      </c>
    </row>
    <row r="57" spans="1:22" ht="15.75" hidden="1">
      <c r="A57" s="47" t="s">
        <v>61</v>
      </c>
      <c r="B57" s="48" t="e">
        <f>B58-B56</f>
        <v>#VALUE!</v>
      </c>
      <c r="C57" s="19">
        <f>C58-C56</f>
        <v>-356</v>
      </c>
      <c r="D57" s="20" t="e">
        <f t="shared" si="0"/>
        <v>#VALUE!</v>
      </c>
      <c r="E57" s="49" t="e">
        <f>E58-E56</f>
        <v>#VALUE!</v>
      </c>
      <c r="F57" s="22">
        <f>F58-F56</f>
        <v>46504240</v>
      </c>
      <c r="G57" s="20" t="e">
        <f t="shared" si="1"/>
        <v>#VALUE!</v>
      </c>
      <c r="H57" s="48" t="e">
        <f>H58-H56</f>
        <v>#VALUE!</v>
      </c>
      <c r="I57" s="19">
        <f>I58-I56</f>
        <v>-196</v>
      </c>
      <c r="J57" s="20" t="e">
        <f t="shared" si="2"/>
        <v>#VALUE!</v>
      </c>
      <c r="K57" s="48" t="e">
        <f>K58-K56</f>
        <v>#VALUE!</v>
      </c>
      <c r="L57" s="19">
        <f>L58-L56</f>
        <v>-1037</v>
      </c>
      <c r="M57" s="20" t="e">
        <f t="shared" si="3"/>
        <v>#VALUE!</v>
      </c>
      <c r="N57" s="48" t="e">
        <f>N58-N56</f>
        <v>#VALUE!</v>
      </c>
      <c r="O57" s="19">
        <f>O58-O56</f>
        <v>31</v>
      </c>
      <c r="P57" s="20" t="e">
        <f t="shared" si="4"/>
        <v>#VALUE!</v>
      </c>
      <c r="R57" s="3"/>
      <c r="S57" s="3"/>
      <c r="T57" s="3"/>
      <c r="U57" s="3"/>
      <c r="V57" s="3"/>
    </row>
    <row r="58" spans="1:22" ht="15.75">
      <c r="A58" s="47" t="s">
        <v>62</v>
      </c>
      <c r="B58" s="50">
        <f>B6+B10+B13+B15+B17+B19+B22+B24+B26+B28+B30+B32+B34+B37+B38+B40+B42+B44+B46+B48+B50+B52+B54</f>
        <v>1037</v>
      </c>
      <c r="C58" s="51">
        <f>C6+C10+C13+C15+C17+C19+C22+C24+C26+C28+C30+C32+C34+C37+C38+C40+C42+C44+C46+C48+C50+C52+C54</f>
        <v>1087</v>
      </c>
      <c r="D58" s="52" t="str">
        <f t="shared" si="0"/>
        <v>-4,6</v>
      </c>
      <c r="E58" s="53">
        <f>E6+E10+E13+E15+E17+E19+E22+E24+E26+E28+E30+E32+E34+E37+E38+E40+E42+E44+E46+E48+E50+E52+E54</f>
        <v>75244277</v>
      </c>
      <c r="F58" s="54">
        <f>F6+F10+F13+F15+F17+F19+F22+F24+F26+F28+F30+F32+F34+F37+F38+F40+F42+F44+F46+F48+F50+F52+F54</f>
        <v>63029867</v>
      </c>
      <c r="G58" s="55" t="str">
        <f>IF(F58&lt;&gt;0,TEXT(((E58-F58)/F58)*100,"0,00"),"--")</f>
        <v>19,38</v>
      </c>
      <c r="H58" s="56">
        <f>H6+H10+H13+H15+H17+H19+H22+H24+H26+H28+H30+H32+H34+H37+H38+H40+H42+H44+H46+H48+H50+H52+H54</f>
        <v>92</v>
      </c>
      <c r="I58" s="57">
        <f>I6+I10+I13+I15+I17+I19+I22+I24+I26+I28+I30+I32+I34+I37+I38+I40+I42+I44+I46+I48+I50+I52+I54</f>
        <v>102</v>
      </c>
      <c r="J58" s="55" t="str">
        <f>IF(I58&lt;&gt;0,TEXT(((H58-I58)/I58)*100,"0,00"),"--")</f>
        <v>-9,80</v>
      </c>
      <c r="K58" s="56">
        <f>K6+K10+K13+K15+K17+K19+K22+K24+K26+K28+K30+K32+K34+K37+K38+K40+K42+K44+K46+K48+K50+K52+K54</f>
        <v>112</v>
      </c>
      <c r="L58" s="57">
        <f>L6+L10+L13+L15+L17+L19+L22+L24+L26+L28+L30+L32+L34+L37+L38+L40+L42+L44+L46+L48+L50+L52+L54</f>
        <v>96</v>
      </c>
      <c r="M58" s="55" t="str">
        <f>IF(L58&lt;&gt;0,TEXT(((K58-L58)/L58)*100,"0,00"),"--")</f>
        <v>16,67</v>
      </c>
      <c r="N58" s="50">
        <f>N6+N10+N13+N15+N17+N19+N22+N24+N26+N28+N30+N32+N34+N37+N38+N40+N42+N44+N46+N48+N50+N52+N54</f>
        <v>357</v>
      </c>
      <c r="O58" s="57">
        <f>O6+O10+O13+O15+O17+O19+O22+O24+O26+O28+O30+O32+O34+O37+O38+O40+O42+O44+O46+O48+O50+O52+O54</f>
        <v>393</v>
      </c>
      <c r="P58" s="55" t="str">
        <f t="shared" si="4"/>
        <v>-9,2</v>
      </c>
      <c r="R58" s="3"/>
      <c r="S58" s="3"/>
      <c r="T58" s="3"/>
      <c r="U58" s="3"/>
      <c r="V58" s="3"/>
    </row>
    <row r="59" spans="1:22" ht="15">
      <c r="A59" s="58"/>
      <c r="B59" s="58"/>
      <c r="C59" s="58"/>
      <c r="D59" s="58"/>
      <c r="E59" s="58"/>
      <c r="F59" s="58"/>
      <c r="G59" s="3"/>
      <c r="H59" s="58"/>
      <c r="I59" s="58"/>
      <c r="J59" s="58"/>
      <c r="K59" s="58"/>
      <c r="L59" s="58"/>
      <c r="M59" s="58"/>
      <c r="N59" s="58"/>
      <c r="O59" s="58"/>
      <c r="P59" s="58"/>
      <c r="R59" s="3"/>
      <c r="S59" s="3"/>
      <c r="T59" s="3"/>
      <c r="U59" s="3"/>
      <c r="V59" s="3"/>
    </row>
    <row r="60" spans="1:22" ht="15">
      <c r="A60" s="3"/>
      <c r="B60" s="3"/>
      <c r="C60" s="3"/>
      <c r="D60" s="3"/>
      <c r="E60" s="3" t="s">
        <v>63</v>
      </c>
      <c r="F60" s="3"/>
      <c r="H60" s="3"/>
      <c r="I60" s="3"/>
      <c r="J60" s="3"/>
      <c r="K60" s="3"/>
      <c r="L60" s="3"/>
      <c r="M60" s="3"/>
      <c r="N60" s="3"/>
      <c r="O60" s="3"/>
      <c r="P60" s="3"/>
      <c r="R60" s="3"/>
      <c r="S60" s="3"/>
      <c r="T60" s="3"/>
      <c r="U60" s="3"/>
      <c r="V60" s="3"/>
    </row>
    <row r="61" spans="1:2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R61" s="3"/>
      <c r="S61" s="3"/>
      <c r="T61" s="3"/>
      <c r="U61" s="3"/>
      <c r="V61" s="3"/>
    </row>
    <row r="62" spans="1:22" ht="15">
      <c r="A62" s="3"/>
      <c r="B62" s="3"/>
      <c r="C62" s="3"/>
      <c r="D62" s="3"/>
      <c r="E62" s="3"/>
      <c r="K62" s="3"/>
      <c r="L62" s="3"/>
      <c r="M62" s="3"/>
      <c r="N62" s="3"/>
      <c r="O62" s="3"/>
      <c r="P62" s="3"/>
      <c r="R62" s="3"/>
      <c r="S62" s="3"/>
      <c r="T62" s="3"/>
      <c r="U62" s="3"/>
      <c r="V62" s="3"/>
    </row>
    <row r="63" spans="1:22" ht="15">
      <c r="A63" s="3"/>
      <c r="B63" s="3"/>
      <c r="C63" s="3"/>
      <c r="D63" s="3"/>
      <c r="G63" s="2"/>
      <c r="K63" s="3"/>
      <c r="L63" s="3"/>
      <c r="M63" s="3"/>
      <c r="N63" s="3"/>
      <c r="O63" s="3"/>
      <c r="P63" s="3"/>
      <c r="R63" s="3"/>
      <c r="S63" s="3"/>
      <c r="T63" s="3"/>
      <c r="U63" s="3"/>
      <c r="V63" s="3"/>
    </row>
    <row r="64" spans="1:22" ht="15">
      <c r="A64" s="3" t="s">
        <v>64</v>
      </c>
      <c r="B64" s="3"/>
      <c r="C64" s="3"/>
      <c r="G64" s="2"/>
      <c r="L64" s="3"/>
      <c r="M64" s="3"/>
      <c r="N64" s="3"/>
      <c r="O64" s="3"/>
      <c r="P64" s="3"/>
      <c r="R64" s="3"/>
      <c r="S64" s="3"/>
      <c r="T64" s="3"/>
      <c r="U64" s="3"/>
      <c r="V64" s="3"/>
    </row>
    <row r="65" spans="1:22" ht="15">
      <c r="A65" s="3"/>
      <c r="B65" s="3"/>
      <c r="C65" s="3"/>
      <c r="D65" s="1" t="s">
        <v>65</v>
      </c>
      <c r="G65" s="2"/>
      <c r="L65" s="3"/>
      <c r="M65" s="3"/>
      <c r="N65" s="3"/>
      <c r="O65" s="3"/>
      <c r="P65" s="3"/>
      <c r="R65" s="3"/>
      <c r="S65" s="3"/>
      <c r="T65" s="3"/>
      <c r="U65" s="3"/>
      <c r="V65" s="3"/>
    </row>
    <row r="66" spans="1:22" ht="15">
      <c r="A66" s="3"/>
      <c r="B66" s="3"/>
      <c r="C66" s="3"/>
      <c r="G66" s="2"/>
      <c r="L66" s="3"/>
      <c r="M66" s="3"/>
      <c r="N66" s="3"/>
      <c r="O66" s="3"/>
      <c r="P66" s="3"/>
      <c r="R66" s="3"/>
      <c r="S66" s="3"/>
      <c r="T66" s="3"/>
      <c r="U66" s="3"/>
      <c r="V66" s="3"/>
    </row>
    <row r="67" spans="1:16" ht="15">
      <c r="A67" s="3"/>
      <c r="B67" s="3"/>
      <c r="C67" s="3"/>
      <c r="G67" s="2"/>
      <c r="L67" s="3"/>
      <c r="M67" s="3"/>
      <c r="N67" s="3"/>
      <c r="O67" s="3"/>
      <c r="P67" s="3"/>
    </row>
    <row r="68" spans="1:16" ht="15">
      <c r="A68" s="3"/>
      <c r="B68" s="3"/>
      <c r="C68" s="3"/>
      <c r="G68" s="2"/>
      <c r="L68" s="3"/>
      <c r="M68" s="3"/>
      <c r="N68" s="3"/>
      <c r="O68" s="3"/>
      <c r="P68" s="3"/>
    </row>
    <row r="69" spans="1:16" ht="15">
      <c r="A69" s="3"/>
      <c r="B69" s="3"/>
      <c r="C69" s="3"/>
      <c r="G69" s="2"/>
      <c r="H69" s="1"/>
      <c r="L69" s="3"/>
      <c r="M69" s="3"/>
      <c r="N69" s="3"/>
      <c r="O69" s="3"/>
      <c r="P69" s="3"/>
    </row>
    <row r="70" spans="1:16" ht="15">
      <c r="A70" s="3"/>
      <c r="B70" s="3"/>
      <c r="C70" s="3"/>
      <c r="L70" s="2"/>
      <c r="M70" s="2"/>
      <c r="N70" s="3"/>
      <c r="O70" s="3"/>
      <c r="P70" s="3"/>
    </row>
    <row r="71" spans="1:16" ht="15">
      <c r="A71" s="3"/>
      <c r="B71" s="3"/>
      <c r="C71" s="3"/>
      <c r="L71" s="2"/>
      <c r="M71" s="2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L72" s="2"/>
      <c r="M72" s="2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L73" s="2"/>
      <c r="M73" s="2"/>
      <c r="N73" s="3"/>
      <c r="O73" s="3"/>
      <c r="P73" s="3"/>
    </row>
    <row r="74" spans="1:16" ht="15">
      <c r="A74" s="3"/>
      <c r="B74" s="3"/>
      <c r="C74" s="3"/>
      <c r="D74" s="3"/>
      <c r="E74" s="3"/>
      <c r="F74" s="3"/>
      <c r="G74" s="3"/>
      <c r="L74" s="2"/>
      <c r="M74" s="2"/>
      <c r="N74" s="3"/>
      <c r="O74" s="3"/>
      <c r="P74" s="3"/>
    </row>
    <row r="75" spans="1:16" ht="15">
      <c r="A75" s="3"/>
      <c r="B75" s="3"/>
      <c r="C75" s="3"/>
      <c r="D75" s="3"/>
      <c r="E75" s="3"/>
      <c r="F75" s="3"/>
      <c r="G75" s="3"/>
      <c r="L75" s="2"/>
      <c r="M75" s="2"/>
      <c r="N75" s="3"/>
      <c r="O75" s="3"/>
      <c r="P75" s="3"/>
    </row>
    <row r="76" spans="1:16" ht="15">
      <c r="A76" s="3"/>
      <c r="B76" s="3"/>
      <c r="C76" s="3"/>
      <c r="D76" s="3"/>
      <c r="E76" s="3"/>
      <c r="F76" s="3"/>
      <c r="G76" s="3"/>
      <c r="M76" s="2"/>
      <c r="N76" s="2"/>
      <c r="O76" s="3"/>
      <c r="P76" s="3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M77" s="2"/>
      <c r="N77" s="2"/>
      <c r="O77" s="3"/>
      <c r="P77" s="3"/>
    </row>
    <row r="78" spans="1:16" ht="15">
      <c r="A78" s="3"/>
      <c r="B78" s="3"/>
      <c r="C78" s="3"/>
      <c r="D78" s="3"/>
      <c r="E78" s="3"/>
      <c r="F78" s="3"/>
      <c r="G78" s="3"/>
      <c r="H78" s="3"/>
      <c r="I78" s="3"/>
      <c r="J78" s="3"/>
      <c r="M78" s="2"/>
      <c r="N78" s="2"/>
      <c r="O78" s="3"/>
      <c r="P78" s="3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M79" s="2"/>
      <c r="N79" s="2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M80" s="2"/>
      <c r="N80" s="2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sheetProtection selectLockedCells="1" selectUnlockedCells="1"/>
  <mergeCells count="7">
    <mergeCell ref="A1:J1"/>
    <mergeCell ref="A2:P2"/>
    <mergeCell ref="B4:D4"/>
    <mergeCell ref="E4:G4"/>
    <mergeCell ref="H4:I4"/>
    <mergeCell ref="K4:M4"/>
    <mergeCell ref="N4:P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8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Normal="75" zoomScaleSheetLayoutView="100" workbookViewId="0" topLeftCell="A28">
      <selection activeCell="A16" sqref="A16:G16"/>
    </sheetView>
  </sheetViews>
  <sheetFormatPr defaultColWidth="9.140625" defaultRowHeight="12.75"/>
  <cols>
    <col min="1" max="1" width="24.28125" style="323" customWidth="1"/>
    <col min="2" max="2" width="12.421875" style="323" customWidth="1"/>
    <col min="3" max="3" width="9.28125" style="324" customWidth="1"/>
    <col min="4" max="5" width="8.7109375" style="324" customWidth="1"/>
    <col min="6" max="6" width="12.00390625" style="324" customWidth="1"/>
    <col min="7" max="7" width="8.7109375" style="324" customWidth="1"/>
    <col min="8" max="8" width="56.57421875" style="334" customWidth="1"/>
    <col min="9" max="9" width="6.7109375" style="324" customWidth="1"/>
    <col min="10" max="10" width="11.28125" style="324" customWidth="1"/>
    <col min="11" max="11" width="20.8515625" style="324" customWidth="1"/>
    <col min="12" max="12" width="8.28125" style="324" customWidth="1"/>
    <col min="13" max="13" width="30.421875" style="324" customWidth="1"/>
    <col min="14" max="14" width="22.8515625" style="324" customWidth="1"/>
    <col min="15" max="16384" width="8.7109375" style="324" customWidth="1"/>
  </cols>
  <sheetData>
    <row r="1" spans="1:13" ht="18.75">
      <c r="A1" s="335" t="s">
        <v>14</v>
      </c>
      <c r="B1" s="335">
        <v>54177</v>
      </c>
      <c r="C1" s="323"/>
      <c r="H1" s="336" t="s">
        <v>203</v>
      </c>
      <c r="I1" s="337">
        <f>OБПР!B33</f>
        <v>285</v>
      </c>
      <c r="J1" s="338" t="s">
        <v>204</v>
      </c>
      <c r="K1" s="338" t="s">
        <v>205</v>
      </c>
      <c r="L1" s="339">
        <f>(I1*100)/Grig1!B58</f>
        <v>27.483124397299903</v>
      </c>
      <c r="M1" s="338" t="s">
        <v>206</v>
      </c>
    </row>
    <row r="2" spans="1:13" ht="37.5">
      <c r="A2" s="335" t="s">
        <v>17</v>
      </c>
      <c r="B2" s="335">
        <v>17654</v>
      </c>
      <c r="H2" s="336" t="s">
        <v>207</v>
      </c>
      <c r="I2" s="337">
        <f>OБПР!B30</f>
        <v>298</v>
      </c>
      <c r="J2" s="338" t="s">
        <v>204</v>
      </c>
      <c r="K2" s="338" t="s">
        <v>205</v>
      </c>
      <c r="L2" s="339">
        <f>(I2*100)/Grig2!B6</f>
        <v>28.736740597878494</v>
      </c>
      <c r="M2" s="338" t="s">
        <v>206</v>
      </c>
    </row>
    <row r="3" spans="1:13" ht="37.5">
      <c r="A3" s="335" t="s">
        <v>19</v>
      </c>
      <c r="B3" s="335">
        <v>37727</v>
      </c>
      <c r="H3" s="336" t="s">
        <v>208</v>
      </c>
      <c r="I3" s="337">
        <f>OБПР!B31</f>
        <v>175</v>
      </c>
      <c r="J3" s="338" t="s">
        <v>204</v>
      </c>
      <c r="K3" s="338" t="s">
        <v>205</v>
      </c>
      <c r="L3" s="339">
        <f>(I3*100)/Grig2!B6</f>
        <v>16.875602700096433</v>
      </c>
      <c r="M3" s="338" t="s">
        <v>206</v>
      </c>
    </row>
    <row r="4" spans="1:13" ht="18.75">
      <c r="A4" s="335" t="s">
        <v>21</v>
      </c>
      <c r="B4" s="335">
        <v>34764</v>
      </c>
      <c r="H4" s="336" t="s">
        <v>209</v>
      </c>
      <c r="I4" s="337">
        <f>OБПР!B35</f>
        <v>33</v>
      </c>
      <c r="J4" s="338" t="s">
        <v>204</v>
      </c>
      <c r="K4" s="338" t="s">
        <v>205</v>
      </c>
      <c r="L4" s="339">
        <f>(I4*100)/Grig2!B6</f>
        <v>3.1822565091610415</v>
      </c>
      <c r="M4" s="338" t="s">
        <v>206</v>
      </c>
    </row>
    <row r="5" spans="1:13" ht="18.75">
      <c r="A5" s="335" t="s">
        <v>23</v>
      </c>
      <c r="B5" s="335">
        <v>25440</v>
      </c>
      <c r="H5" s="336" t="s">
        <v>210</v>
      </c>
      <c r="I5" s="337">
        <f>OБПР!B38</f>
        <v>152</v>
      </c>
      <c r="J5" s="338" t="s">
        <v>204</v>
      </c>
      <c r="K5" s="338" t="s">
        <v>205</v>
      </c>
      <c r="L5" s="339">
        <f>(I5*100)/Grig2!B6</f>
        <v>14.657666345226616</v>
      </c>
      <c r="M5" s="338" t="s">
        <v>206</v>
      </c>
    </row>
    <row r="6" spans="1:13" ht="18.75">
      <c r="A6" s="335" t="s">
        <v>26</v>
      </c>
      <c r="B6" s="335">
        <v>84464</v>
      </c>
      <c r="H6" s="336" t="s">
        <v>211</v>
      </c>
      <c r="I6" s="337">
        <f>OБПР!B28</f>
        <v>141</v>
      </c>
      <c r="J6" s="338" t="s">
        <v>204</v>
      </c>
      <c r="K6" s="338" t="s">
        <v>205</v>
      </c>
      <c r="L6" s="339">
        <f>(I6*100)/Grig2!B6</f>
        <v>13.596914175506267</v>
      </c>
      <c r="M6" s="338" t="s">
        <v>206</v>
      </c>
    </row>
    <row r="7" spans="1:2" ht="18">
      <c r="A7" s="335" t="s">
        <v>28</v>
      </c>
      <c r="B7" s="335">
        <v>21192</v>
      </c>
    </row>
    <row r="8" spans="1:2" ht="18">
      <c r="A8" s="335" t="s">
        <v>30</v>
      </c>
      <c r="B8" s="335">
        <v>26623</v>
      </c>
    </row>
    <row r="9" spans="1:10" ht="41.25" customHeight="1">
      <c r="A9" s="335" t="s">
        <v>32</v>
      </c>
      <c r="B9" s="335">
        <v>15558</v>
      </c>
      <c r="H9" s="336" t="s">
        <v>212</v>
      </c>
      <c r="I9" s="340">
        <f>OБПР!H11</f>
        <v>88</v>
      </c>
      <c r="J9" s="341">
        <f>(I9*100)/Grig1!H58</f>
        <v>95.65217391304348</v>
      </c>
    </row>
    <row r="10" spans="1:10" ht="18.75">
      <c r="A10" s="335" t="s">
        <v>34</v>
      </c>
      <c r="B10" s="335">
        <v>16537</v>
      </c>
      <c r="H10" s="342" t="s">
        <v>95</v>
      </c>
      <c r="I10" s="343">
        <f>OБПР!H33</f>
        <v>64</v>
      </c>
      <c r="J10" s="341">
        <f>(I10*100)/Grig2!H6</f>
        <v>69.56521739130434</v>
      </c>
    </row>
    <row r="11" spans="1:10" ht="18.75">
      <c r="A11" s="335" t="s">
        <v>36</v>
      </c>
      <c r="B11" s="335">
        <v>23757</v>
      </c>
      <c r="H11" s="344" t="s">
        <v>213</v>
      </c>
      <c r="I11" s="345">
        <f>OБПР!H34</f>
        <v>60</v>
      </c>
      <c r="J11" s="346">
        <f>(I11*100)/Grig2!H6</f>
        <v>65.21739130434783</v>
      </c>
    </row>
    <row r="12" spans="1:10" ht="37.5">
      <c r="A12" s="335" t="s">
        <v>38</v>
      </c>
      <c r="B12" s="335">
        <v>34609</v>
      </c>
      <c r="H12" s="344" t="s">
        <v>214</v>
      </c>
      <c r="I12" s="345">
        <f>OБПР!H30</f>
        <v>13</v>
      </c>
      <c r="J12" s="346">
        <f>(I12*100)/Grig2!H6</f>
        <v>14.130434782608695</v>
      </c>
    </row>
    <row r="13" spans="1:10" ht="37.5">
      <c r="A13" s="335" t="s">
        <v>41</v>
      </c>
      <c r="B13" s="335">
        <v>124358</v>
      </c>
      <c r="H13" s="344" t="s">
        <v>215</v>
      </c>
      <c r="I13" s="345">
        <f>OБПР!H31</f>
        <v>10</v>
      </c>
      <c r="J13" s="346">
        <f>(I13*100)/Grig2!H6</f>
        <v>10.869565217391305</v>
      </c>
    </row>
    <row r="14" spans="1:2" ht="18">
      <c r="A14" s="335" t="s">
        <v>42</v>
      </c>
      <c r="B14" s="335">
        <v>13595</v>
      </c>
    </row>
    <row r="15" spans="1:10" ht="18.75">
      <c r="A15" s="335" t="s">
        <v>44</v>
      </c>
      <c r="B15" s="335">
        <v>24756</v>
      </c>
      <c r="H15" s="347" t="s">
        <v>216</v>
      </c>
      <c r="I15" s="348">
        <f>OБПР!B11</f>
        <v>785</v>
      </c>
      <c r="J15" s="341">
        <f>(I15*100)/Grig2!B6</f>
        <v>75.69913211186113</v>
      </c>
    </row>
    <row r="16" spans="1:7" ht="18">
      <c r="A16" s="645" t="s">
        <v>46</v>
      </c>
      <c r="B16" s="645">
        <v>36515</v>
      </c>
      <c r="C16" s="641"/>
      <c r="D16" s="641"/>
      <c r="E16" s="641"/>
      <c r="F16" s="641"/>
      <c r="G16" s="641"/>
    </row>
    <row r="17" spans="1:10" ht="18.75">
      <c r="A17" s="335" t="s">
        <v>48</v>
      </c>
      <c r="B17" s="335">
        <v>63314</v>
      </c>
      <c r="H17" s="349" t="s">
        <v>217</v>
      </c>
      <c r="I17" s="337">
        <f>Grig2!B29</f>
        <v>0</v>
      </c>
      <c r="J17" s="350">
        <f>(I17*100)/Grig2!B6</f>
        <v>0</v>
      </c>
    </row>
    <row r="18" spans="1:10" ht="18.75">
      <c r="A18" s="335" t="s">
        <v>50</v>
      </c>
      <c r="B18" s="335">
        <v>14137</v>
      </c>
      <c r="H18" s="349" t="s">
        <v>218</v>
      </c>
      <c r="I18" s="337">
        <f>Grig2!B30</f>
        <v>0</v>
      </c>
      <c r="J18" s="350">
        <f>(I18*100)/Grig2!B6</f>
        <v>0</v>
      </c>
    </row>
    <row r="19" spans="1:2" ht="18">
      <c r="A19" s="335" t="s">
        <v>52</v>
      </c>
      <c r="B19" s="335">
        <v>41701</v>
      </c>
    </row>
    <row r="20" spans="1:8" ht="18.75">
      <c r="A20" s="335" t="s">
        <v>54</v>
      </c>
      <c r="B20" s="335">
        <v>29227</v>
      </c>
      <c r="H20" s="351" t="s">
        <v>219</v>
      </c>
    </row>
    <row r="21" spans="1:9" ht="18.75">
      <c r="A21" s="335" t="s">
        <v>56</v>
      </c>
      <c r="B21" s="335">
        <v>19814</v>
      </c>
      <c r="H21" s="351" t="s">
        <v>220</v>
      </c>
      <c r="I21" s="352">
        <f>(ГРАФИКИ!U325*100)/ГРАФИКИ!P312</f>
        <v>43.587270973963356</v>
      </c>
    </row>
    <row r="22" spans="1:9" ht="18.75">
      <c r="A22" s="335" t="s">
        <v>58</v>
      </c>
      <c r="B22" s="335">
        <v>16137</v>
      </c>
      <c r="H22" s="351" t="s">
        <v>221</v>
      </c>
      <c r="I22" s="352">
        <f>(ГРАФИКИ!AA325*100)/ГРАФИКИ!V312</f>
        <v>47.82608695652174</v>
      </c>
    </row>
    <row r="23" spans="1:9" ht="18.75">
      <c r="A23" s="335" t="s">
        <v>11</v>
      </c>
      <c r="B23" s="335">
        <v>123405</v>
      </c>
      <c r="H23" s="351" t="s">
        <v>222</v>
      </c>
      <c r="I23" s="352">
        <f>(ГРАФИКИ!AD325*100)/ГРАФИКИ!Y312</f>
        <v>94.64285714285714</v>
      </c>
    </row>
    <row r="24" spans="1:9" ht="18.75">
      <c r="A24" s="335" t="s">
        <v>13</v>
      </c>
      <c r="B24" s="335">
        <v>149928</v>
      </c>
      <c r="H24" s="351" t="s">
        <v>223</v>
      </c>
      <c r="I24" s="352">
        <f>(ГРАФИКИ!X325*100)/ГРАФИКИ!S312</f>
        <v>29.08263840451281</v>
      </c>
    </row>
    <row r="25" spans="1:2" ht="18">
      <c r="A25" s="335" t="s">
        <v>12</v>
      </c>
      <c r="B25" s="335">
        <v>187050</v>
      </c>
    </row>
    <row r="26" spans="1:2" ht="18">
      <c r="A26" s="335" t="s">
        <v>10</v>
      </c>
      <c r="B26" s="335">
        <v>460383</v>
      </c>
    </row>
    <row r="27" spans="1:2" ht="18">
      <c r="A27" s="335" t="s">
        <v>62</v>
      </c>
      <c r="B27" s="335">
        <v>1247012</v>
      </c>
    </row>
    <row r="28" ht="15.75">
      <c r="F28" s="333"/>
    </row>
    <row r="33" spans="6:10" ht="15.75">
      <c r="F33" s="333"/>
      <c r="H33" s="353"/>
      <c r="J33" s="33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61"/>
  <sheetViews>
    <sheetView view="pageBreakPreview" zoomScale="85" zoomScaleNormal="85" zoomScaleSheetLayoutView="85" workbookViewId="0" topLeftCell="A214">
      <selection activeCell="P288" sqref="P288"/>
    </sheetView>
  </sheetViews>
  <sheetFormatPr defaultColWidth="9.140625" defaultRowHeight="12.75"/>
  <cols>
    <col min="1" max="1" width="15.8515625" style="324" customWidth="1"/>
    <col min="2" max="5" width="8.7109375" style="324" customWidth="1"/>
    <col min="6" max="6" width="10.421875" style="324" customWidth="1"/>
    <col min="7" max="14" width="8.7109375" style="324" customWidth="1"/>
    <col min="15" max="15" width="46.421875" style="324" customWidth="1"/>
    <col min="16" max="16" width="11.28125" style="324" customWidth="1"/>
    <col min="17" max="17" width="11.00390625" style="324" customWidth="1"/>
    <col min="18" max="18" width="6.8515625" style="324" customWidth="1"/>
    <col min="19" max="19" width="11.00390625" style="324" customWidth="1"/>
    <col min="20" max="20" width="17.00390625" style="324" customWidth="1"/>
    <col min="21" max="21" width="8.00390625" style="324" customWidth="1"/>
    <col min="22" max="22" width="6.00390625" style="324" customWidth="1"/>
    <col min="23" max="23" width="6.57421875" style="324" customWidth="1"/>
    <col min="24" max="24" width="10.421875" style="324" customWidth="1"/>
    <col min="25" max="25" width="8.7109375" style="324" customWidth="1"/>
    <col min="26" max="26" width="7.421875" style="324" customWidth="1"/>
    <col min="27" max="27" width="7.28125" style="324" customWidth="1"/>
    <col min="28" max="28" width="5.140625" style="324" customWidth="1"/>
    <col min="29" max="29" width="6.57421875" style="324" customWidth="1"/>
    <col min="30" max="30" width="8.00390625" style="324" customWidth="1"/>
    <col min="31" max="31" width="5.140625" style="324" customWidth="1"/>
    <col min="32" max="32" width="6.57421875" style="324" customWidth="1"/>
    <col min="33" max="33" width="6.8515625" style="324" customWidth="1"/>
    <col min="34" max="34" width="5.421875" style="324" customWidth="1"/>
    <col min="35" max="35" width="6.57421875" style="324" customWidth="1"/>
    <col min="36" max="36" width="8.7109375" style="324" customWidth="1"/>
    <col min="37" max="38" width="5.421875" style="324" customWidth="1"/>
    <col min="39" max="39" width="6.8515625" style="324" customWidth="1"/>
    <col min="40" max="41" width="5.421875" style="324" customWidth="1"/>
    <col min="42" max="42" width="6.8515625" style="324" customWidth="1"/>
    <col min="43" max="16384" width="8.7109375" style="324" customWidth="1"/>
  </cols>
  <sheetData>
    <row r="1" spans="16:17" ht="12.75">
      <c r="P1" s="324">
        <v>2012</v>
      </c>
      <c r="Q1" s="324">
        <v>2011</v>
      </c>
    </row>
    <row r="2" spans="15:17" ht="15">
      <c r="O2" s="1" t="s">
        <v>95</v>
      </c>
      <c r="P2" s="354">
        <f>OБПР!B33/Grig2!B6</f>
        <v>0.274831243972999</v>
      </c>
      <c r="Q2" s="354">
        <f>Grig2!C32/Grig2!C6</f>
        <v>0</v>
      </c>
    </row>
    <row r="3" spans="15:17" ht="15">
      <c r="O3" s="1" t="s">
        <v>224</v>
      </c>
      <c r="P3" s="354">
        <f>OБПР!B31/Grig2!B6</f>
        <v>0.16875602700096431</v>
      </c>
      <c r="Q3" s="354">
        <f>Grig2!C38/Grig2!C6</f>
        <v>0</v>
      </c>
    </row>
    <row r="4" spans="15:17" ht="15">
      <c r="O4" s="1" t="s">
        <v>225</v>
      </c>
      <c r="P4" s="354">
        <f>OБПР!B30/Grig2!B6</f>
        <v>0.28736740597878496</v>
      </c>
      <c r="Q4" s="354">
        <f>Grig2!C35/Grig2!C6</f>
        <v>0</v>
      </c>
    </row>
    <row r="5" spans="15:17" ht="15">
      <c r="O5" s="1" t="s">
        <v>154</v>
      </c>
      <c r="P5" s="354">
        <f>OБПР!B28/Grig2!B6</f>
        <v>0.1359691417550627</v>
      </c>
      <c r="Q5" s="354">
        <f>Grig2!C42/Grig2!C6</f>
        <v>0</v>
      </c>
    </row>
    <row r="6" spans="15:17" ht="15">
      <c r="O6" s="1" t="s">
        <v>226</v>
      </c>
      <c r="P6" s="354">
        <f>OБПР!B35/Grig2!B6</f>
        <v>0.03182256509161042</v>
      </c>
      <c r="Q6" s="354">
        <f>Grig2!C34/Grig2!C6</f>
        <v>0</v>
      </c>
    </row>
    <row r="7" spans="16:17" ht="12.75">
      <c r="P7" s="354"/>
      <c r="Q7" s="354"/>
    </row>
    <row r="8" spans="16:17" ht="12.75">
      <c r="P8" s="354"/>
      <c r="Q8" s="354"/>
    </row>
    <row r="9" spans="16:17" ht="12.75">
      <c r="P9" s="354"/>
      <c r="Q9" s="354"/>
    </row>
    <row r="10" spans="15:17" ht="15">
      <c r="O10" s="1" t="s">
        <v>227</v>
      </c>
      <c r="P10" s="354">
        <f>(OБПР!B13+OБПР!B14+OБПР!B15+OБПР!B16)/Grig2!B6</f>
        <v>0.007714561234329798</v>
      </c>
      <c r="Q10" s="354">
        <f>Grig2!C15/Grig2!C6</f>
        <v>0</v>
      </c>
    </row>
    <row r="11" spans="15:17" ht="15">
      <c r="O11" s="1" t="s">
        <v>81</v>
      </c>
      <c r="P11" s="354">
        <f>OБПР!B19/Grig2!B6</f>
        <v>0.13404050144648022</v>
      </c>
      <c r="Q11" s="354">
        <f>Grig2!C53/Grig2!C6</f>
        <v>0</v>
      </c>
    </row>
    <row r="12" spans="15:17" ht="15">
      <c r="O12" s="1" t="s">
        <v>228</v>
      </c>
      <c r="P12" s="354">
        <f>OБПР!B20/Grig2!B6</f>
        <v>0.011571841851494697</v>
      </c>
      <c r="Q12" s="354">
        <f>Grig2!C19/Grig2!C6</f>
        <v>0</v>
      </c>
    </row>
    <row r="13" spans="15:17" ht="15">
      <c r="O13" s="1" t="s">
        <v>229</v>
      </c>
      <c r="P13" s="354">
        <f>OБПР!B8/Grig2!B6</f>
        <v>0.015429122468659595</v>
      </c>
      <c r="Q13" s="354">
        <f>Grig2!C8/Grig2!C6</f>
        <v>0</v>
      </c>
    </row>
    <row r="14" spans="15:17" ht="15">
      <c r="O14" s="1" t="s">
        <v>230</v>
      </c>
      <c r="P14" s="354">
        <f>OБПР!B11/Grig2!B6</f>
        <v>0.7569913211186113</v>
      </c>
      <c r="Q14" s="354">
        <f>Grig2!C31/Grig2!C6</f>
        <v>0</v>
      </c>
    </row>
    <row r="15" spans="15:17" ht="15">
      <c r="O15" s="1" t="s">
        <v>231</v>
      </c>
      <c r="P15" s="354" t="str">
        <f>"#REF!/Grig2!B6"</f>
        <v>#REF!/Grig2!B6</v>
      </c>
      <c r="Q15" s="354">
        <f>Grig2!C61/Grig2!C6</f>
        <v>0</v>
      </c>
    </row>
    <row r="16" ht="12.75"/>
    <row r="17" ht="12.75"/>
    <row r="18" ht="12.75"/>
    <row r="19" ht="12.75"/>
    <row r="20" ht="12.75"/>
    <row r="21" ht="12.75"/>
    <row r="22" spans="15:17" ht="15">
      <c r="O22" s="1" t="s">
        <v>154</v>
      </c>
      <c r="P22" s="355">
        <f>OБПР!B28</f>
        <v>141</v>
      </c>
      <c r="Q22" s="355">
        <f>OБПР!C28</f>
        <v>129</v>
      </c>
    </row>
    <row r="23" spans="15:17" ht="15">
      <c r="O23" s="1" t="s">
        <v>95</v>
      </c>
      <c r="P23" s="355">
        <f>OБПР!B33</f>
        <v>285</v>
      </c>
      <c r="Q23" s="355">
        <f>OБПР!C33</f>
        <v>302</v>
      </c>
    </row>
    <row r="24" spans="15:17" ht="15">
      <c r="O24" s="1" t="s">
        <v>224</v>
      </c>
      <c r="P24" s="355">
        <f>OБПР!B31</f>
        <v>175</v>
      </c>
      <c r="Q24" s="355">
        <f>OБПР!C31</f>
        <v>226</v>
      </c>
    </row>
    <row r="25" spans="15:17" ht="15">
      <c r="O25" s="1" t="s">
        <v>225</v>
      </c>
      <c r="P25" s="355">
        <f>OБПР!B30</f>
        <v>298</v>
      </c>
      <c r="Q25" s="355">
        <f>OБПР!C30</f>
        <v>301</v>
      </c>
    </row>
    <row r="26" spans="15:17" ht="15">
      <c r="O26" s="1" t="s">
        <v>232</v>
      </c>
      <c r="P26" s="355">
        <f>OБПР!B36</f>
        <v>88</v>
      </c>
      <c r="Q26" s="355">
        <f>OБПР!C36</f>
        <v>72</v>
      </c>
    </row>
    <row r="27" spans="15:17" ht="15">
      <c r="O27" s="1" t="s">
        <v>233</v>
      </c>
      <c r="P27" s="355">
        <f>OБПР!B29+OБПР!B32+OБПР!B37</f>
        <v>50</v>
      </c>
      <c r="Q27" s="355">
        <f>OБПР!C29+OБПР!C32+OБПР!C37</f>
        <v>57</v>
      </c>
    </row>
    <row r="28" spans="16:17" ht="12.75">
      <c r="P28" s="324">
        <f>SUM(P22:P27)</f>
        <v>1037</v>
      </c>
      <c r="Q28" s="324">
        <f>SUM(Q22:Q27)</f>
        <v>1087</v>
      </c>
    </row>
    <row r="29" ht="12.75"/>
    <row r="30" spans="16:17" ht="12.75">
      <c r="P30" s="356"/>
      <c r="Q30" s="356"/>
    </row>
    <row r="31" spans="16:17" ht="12.75">
      <c r="P31" s="356"/>
      <c r="Q31" s="356"/>
    </row>
    <row r="32" spans="16:17" ht="12.75">
      <c r="P32" s="356"/>
      <c r="Q32" s="356"/>
    </row>
    <row r="33" spans="16:17" ht="12.75">
      <c r="P33" s="356"/>
      <c r="Q33" s="356"/>
    </row>
    <row r="34" spans="16:17" ht="12.75">
      <c r="P34" s="356"/>
      <c r="Q34" s="356"/>
    </row>
    <row r="35" ht="12.75"/>
    <row r="36" spans="16:17" ht="12.75">
      <c r="P36" s="355">
        <v>2012</v>
      </c>
      <c r="Q36" s="355">
        <v>2011</v>
      </c>
    </row>
    <row r="37" spans="15:17" ht="15">
      <c r="O37" s="1" t="s">
        <v>230</v>
      </c>
      <c r="P37" s="355">
        <f>OБПР!B11</f>
        <v>785</v>
      </c>
      <c r="Q37" s="355">
        <f>OБПР!C11</f>
        <v>854</v>
      </c>
    </row>
    <row r="38" spans="15:17" ht="15">
      <c r="O38" s="1" t="s">
        <v>229</v>
      </c>
      <c r="P38" s="355">
        <f>OБПР!B8</f>
        <v>16</v>
      </c>
      <c r="Q38" s="355">
        <f>OБПР!C8</f>
        <v>18</v>
      </c>
    </row>
    <row r="39" spans="15:17" ht="15">
      <c r="O39" s="1" t="s">
        <v>227</v>
      </c>
      <c r="P39" s="355">
        <f>OБПР!B10+OБПР!B13+OБПР!B16</f>
        <v>20</v>
      </c>
      <c r="Q39" s="355">
        <f>OБПР!C10+OБПР!C13+OБПР!C16</f>
        <v>25</v>
      </c>
    </row>
    <row r="40" spans="15:17" ht="15">
      <c r="O40" s="1" t="s">
        <v>228</v>
      </c>
      <c r="P40" s="355">
        <f>OБПР!B20</f>
        <v>12</v>
      </c>
      <c r="Q40" s="355">
        <f>OБПР!C20</f>
        <v>19</v>
      </c>
    </row>
    <row r="41" spans="15:17" ht="15">
      <c r="O41" s="1" t="s">
        <v>81</v>
      </c>
      <c r="P41" s="355">
        <f>OБПР!B19</f>
        <v>139</v>
      </c>
      <c r="Q41" s="355">
        <f>OБПР!C19</f>
        <v>115</v>
      </c>
    </row>
    <row r="42" spans="15:17" ht="15">
      <c r="O42" s="1" t="s">
        <v>233</v>
      </c>
      <c r="P42" s="355">
        <f>OБПР!B48</f>
        <v>0</v>
      </c>
      <c r="Q42" s="355">
        <f>OБПР!C48</f>
        <v>0</v>
      </c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95" spans="2:13" ht="15">
      <c r="B95" s="357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</row>
    <row r="96" spans="2:8" ht="12.75" customHeight="1">
      <c r="B96" s="358"/>
      <c r="C96" s="358"/>
      <c r="D96" s="358"/>
      <c r="E96" s="358"/>
      <c r="F96" s="358"/>
      <c r="G96" s="358"/>
      <c r="H96" s="358"/>
    </row>
    <row r="127" ht="12.75"/>
    <row r="128" ht="12.75"/>
    <row r="129" ht="12.75"/>
    <row r="130" ht="12.75"/>
    <row r="131" ht="12.75"/>
    <row r="132" ht="12.75"/>
    <row r="142" spans="15:17" ht="12.75">
      <c r="O142" s="359" t="s">
        <v>234</v>
      </c>
      <c r="P142" s="360">
        <f>Grig1!E58/1000000</f>
        <v>75.244277</v>
      </c>
      <c r="Q142" s="360">
        <f>Grig1!F58/1000000</f>
        <v>63.029867</v>
      </c>
    </row>
    <row r="146" spans="15:17" ht="12.75">
      <c r="O146" s="359"/>
      <c r="P146" s="361" t="s">
        <v>235</v>
      </c>
      <c r="Q146" s="361" t="s">
        <v>236</v>
      </c>
    </row>
    <row r="147" spans="15:18" ht="15">
      <c r="O147" s="359" t="s">
        <v>3</v>
      </c>
      <c r="P147" s="361">
        <f>Grig1!B58</f>
        <v>1037</v>
      </c>
      <c r="Q147" s="362">
        <f>Grig1!C58</f>
        <v>1087</v>
      </c>
      <c r="R147" s="31" t="str">
        <f>IF(Q147&lt;&gt;0,TEXT(((P147-Q147)/Q147)*100,"0,0"),"--")</f>
        <v>-4,6</v>
      </c>
    </row>
    <row r="148" spans="15:18" ht="15">
      <c r="O148" s="359" t="s">
        <v>237</v>
      </c>
      <c r="P148" s="361">
        <f>Grig1!H58</f>
        <v>92</v>
      </c>
      <c r="Q148" s="361">
        <f>Grig1!I58</f>
        <v>102</v>
      </c>
      <c r="R148" s="31" t="str">
        <f>IF(Q148&lt;&gt;0,TEXT(((P148-Q148)/Q148)*100,"0,0"),"--")</f>
        <v>-9,8</v>
      </c>
    </row>
    <row r="149" spans="15:18" ht="15">
      <c r="O149" s="359" t="s">
        <v>238</v>
      </c>
      <c r="P149" s="361">
        <f>Grig1!K58</f>
        <v>112</v>
      </c>
      <c r="Q149" s="361">
        <f>Grig1!L58</f>
        <v>96</v>
      </c>
      <c r="R149" s="31" t="str">
        <f>IF(Q149&lt;&gt;0,TEXT(((P149-Q149)/Q149)*100,"0,0"),"--")</f>
        <v>16,7</v>
      </c>
    </row>
    <row r="150" spans="15:18" ht="15">
      <c r="O150" s="359" t="s">
        <v>239</v>
      </c>
      <c r="P150" s="361">
        <f>Grig1!N58</f>
        <v>357</v>
      </c>
      <c r="Q150" s="361">
        <f>Grig1!O58</f>
        <v>393</v>
      </c>
      <c r="R150" s="31" t="str">
        <f>IF(Q150&lt;&gt;0,TEXT(((P150-Q150)/Q150)*100,"0,0"),"--")</f>
        <v>-9,2</v>
      </c>
    </row>
    <row r="151" spans="15:18" ht="25.5">
      <c r="O151" s="363" t="s">
        <v>240</v>
      </c>
      <c r="P151" s="362">
        <f>Posled2!B66/1000000</f>
        <v>585.684</v>
      </c>
      <c r="Q151" s="362">
        <f>Posled2!C66/1000000</f>
        <v>525.7353</v>
      </c>
      <c r="R151" s="31" t="str">
        <f>IF(Q151&lt;&gt;0,TEXT(((P151-Q151)/Q151)*100,"0,0"),"--")</f>
        <v>11,4</v>
      </c>
    </row>
    <row r="158" spans="15:18" ht="13.5">
      <c r="O158" s="364" t="s">
        <v>2</v>
      </c>
      <c r="P158" s="590" t="s">
        <v>3</v>
      </c>
      <c r="Q158" s="590"/>
      <c r="R158" s="590"/>
    </row>
    <row r="159" spans="15:18" ht="12.75">
      <c r="O159" s="364"/>
      <c r="P159" s="365">
        <v>2012</v>
      </c>
      <c r="Q159" s="366">
        <v>2011</v>
      </c>
      <c r="R159" s="365" t="s">
        <v>9</v>
      </c>
    </row>
    <row r="160" spans="15:18" ht="12.75">
      <c r="O160" s="367" t="s">
        <v>11</v>
      </c>
      <c r="P160" s="368">
        <f>Grig1!B7</f>
        <v>62</v>
      </c>
      <c r="Q160" s="368">
        <f>Grig1!C7</f>
        <v>58</v>
      </c>
      <c r="R160" s="369" t="str">
        <f aca="true" t="shared" si="0" ref="R160:R184">IF(Q160&lt;&gt;0,TEXT(((P160-Q160)/Q160)*100,"0,0"),"--")</f>
        <v>6,9</v>
      </c>
    </row>
    <row r="161" spans="15:18" ht="12.75">
      <c r="O161" s="367" t="s">
        <v>12</v>
      </c>
      <c r="P161" s="368">
        <f>Grig1!B8</f>
        <v>76</v>
      </c>
      <c r="Q161" s="368">
        <f>Grig1!C8</f>
        <v>84</v>
      </c>
      <c r="R161" s="369" t="str">
        <f t="shared" si="0"/>
        <v>-9,5</v>
      </c>
    </row>
    <row r="162" spans="15:18" ht="12.75">
      <c r="O162" s="367" t="s">
        <v>13</v>
      </c>
      <c r="P162" s="368">
        <f>Grig1!B9</f>
        <v>90</v>
      </c>
      <c r="Q162" s="368">
        <f>Grig1!C9</f>
        <v>92</v>
      </c>
      <c r="R162" s="369" t="str">
        <f t="shared" si="0"/>
        <v>-2,2</v>
      </c>
    </row>
    <row r="163" spans="15:18" ht="12.75">
      <c r="O163" s="367" t="s">
        <v>14</v>
      </c>
      <c r="P163" s="368">
        <f>Grig1!B10</f>
        <v>52</v>
      </c>
      <c r="Q163" s="368">
        <f>Grig1!C10</f>
        <v>76</v>
      </c>
      <c r="R163" s="369" t="str">
        <f t="shared" si="0"/>
        <v>-31,6</v>
      </c>
    </row>
    <row r="164" spans="15:18" ht="12.75">
      <c r="O164" s="367" t="s">
        <v>17</v>
      </c>
      <c r="P164" s="368">
        <f>Grig1!B13</f>
        <v>23</v>
      </c>
      <c r="Q164" s="368">
        <f>Grig1!C13</f>
        <v>23</v>
      </c>
      <c r="R164" s="369" t="str">
        <f t="shared" si="0"/>
        <v>0,0</v>
      </c>
    </row>
    <row r="165" spans="15:18" ht="12.75">
      <c r="O165" s="367" t="s">
        <v>19</v>
      </c>
      <c r="P165" s="368">
        <f>Grig1!B15</f>
        <v>38</v>
      </c>
      <c r="Q165" s="368">
        <f>Grig1!C15</f>
        <v>36</v>
      </c>
      <c r="R165" s="369" t="str">
        <f t="shared" si="0"/>
        <v>5,6</v>
      </c>
    </row>
    <row r="166" spans="15:18" ht="12.75">
      <c r="O166" s="367" t="s">
        <v>21</v>
      </c>
      <c r="P166" s="368">
        <f>Grig1!B17</f>
        <v>50</v>
      </c>
      <c r="Q166" s="368">
        <f>Grig1!C17</f>
        <v>53</v>
      </c>
      <c r="R166" s="369" t="str">
        <f t="shared" si="0"/>
        <v>-5,7</v>
      </c>
    </row>
    <row r="167" spans="15:18" ht="12.75">
      <c r="O167" s="367" t="s">
        <v>23</v>
      </c>
      <c r="P167" s="368">
        <f>Grig1!B19</f>
        <v>34</v>
      </c>
      <c r="Q167" s="368">
        <f>Grig1!C19</f>
        <v>33</v>
      </c>
      <c r="R167" s="369" t="str">
        <f t="shared" si="0"/>
        <v>3,0</v>
      </c>
    </row>
    <row r="168" spans="15:18" ht="12.75">
      <c r="O168" s="367" t="s">
        <v>26</v>
      </c>
      <c r="P168" s="368">
        <f>Grig1!B22</f>
        <v>80</v>
      </c>
      <c r="Q168" s="368">
        <f>Grig1!C22</f>
        <v>74</v>
      </c>
      <c r="R168" s="369" t="str">
        <f t="shared" si="0"/>
        <v>8,1</v>
      </c>
    </row>
    <row r="169" spans="15:18" ht="12.75">
      <c r="O169" s="367" t="s">
        <v>28</v>
      </c>
      <c r="P169" s="368">
        <f>Grig1!B24</f>
        <v>28</v>
      </c>
      <c r="Q169" s="368">
        <f>Grig1!C24</f>
        <v>29</v>
      </c>
      <c r="R169" s="369" t="str">
        <f t="shared" si="0"/>
        <v>-3,4</v>
      </c>
    </row>
    <row r="170" spans="15:18" ht="12.75">
      <c r="O170" s="367" t="s">
        <v>30</v>
      </c>
      <c r="P170" s="368">
        <f>Grig1!B26</f>
        <v>20</v>
      </c>
      <c r="Q170" s="368">
        <f>Grig1!C26</f>
        <v>25</v>
      </c>
      <c r="R170" s="369" t="str">
        <f t="shared" si="0"/>
        <v>-20,0</v>
      </c>
    </row>
    <row r="171" spans="15:18" ht="12.75">
      <c r="O171" s="367" t="s">
        <v>32</v>
      </c>
      <c r="P171" s="368">
        <f>Grig1!B28</f>
        <v>15</v>
      </c>
      <c r="Q171" s="368">
        <f>Grig1!C28</f>
        <v>26</v>
      </c>
      <c r="R171" s="369" t="str">
        <f t="shared" si="0"/>
        <v>-42,3</v>
      </c>
    </row>
    <row r="172" spans="15:18" ht="12.75">
      <c r="O172" s="367" t="s">
        <v>34</v>
      </c>
      <c r="P172" s="368">
        <f>Grig1!B30</f>
        <v>38</v>
      </c>
      <c r="Q172" s="368">
        <f>Grig1!C30</f>
        <v>30</v>
      </c>
      <c r="R172" s="369" t="str">
        <f t="shared" si="0"/>
        <v>26,7</v>
      </c>
    </row>
    <row r="173" spans="15:18" ht="12.75">
      <c r="O173" s="367" t="s">
        <v>36</v>
      </c>
      <c r="P173" s="368">
        <f>Grig1!B32</f>
        <v>36</v>
      </c>
      <c r="Q173" s="368">
        <f>Grig1!C32</f>
        <v>38</v>
      </c>
      <c r="R173" s="369" t="str">
        <f t="shared" si="0"/>
        <v>-5,3</v>
      </c>
    </row>
    <row r="174" spans="15:18" ht="12.75">
      <c r="O174" s="367" t="s">
        <v>38</v>
      </c>
      <c r="P174" s="368">
        <f>Grig1!B34</f>
        <v>37</v>
      </c>
      <c r="Q174" s="368">
        <f>Grig1!C34</f>
        <v>34</v>
      </c>
      <c r="R174" s="369" t="str">
        <f t="shared" si="0"/>
        <v>8,8</v>
      </c>
    </row>
    <row r="175" spans="15:18" ht="12.75">
      <c r="O175" s="370" t="s">
        <v>41</v>
      </c>
      <c r="P175" s="368">
        <f>Grig1!B37</f>
        <v>41</v>
      </c>
      <c r="Q175" s="368">
        <f>Grig1!C37</f>
        <v>49</v>
      </c>
      <c r="R175" s="371" t="str">
        <f t="shared" si="0"/>
        <v>-16,3</v>
      </c>
    </row>
    <row r="176" spans="15:18" ht="12.75">
      <c r="O176" s="367" t="s">
        <v>42</v>
      </c>
      <c r="P176" s="368">
        <f>Grig1!B38</f>
        <v>21</v>
      </c>
      <c r="Q176" s="368">
        <f>Grig1!C38</f>
        <v>19</v>
      </c>
      <c r="R176" s="369" t="str">
        <f t="shared" si="0"/>
        <v>10,5</v>
      </c>
    </row>
    <row r="177" spans="1:18" ht="12.75">
      <c r="A177" s="324" t="s">
        <v>241</v>
      </c>
      <c r="O177" s="367" t="s">
        <v>44</v>
      </c>
      <c r="P177" s="368">
        <f>Grig1!B40</f>
        <v>24</v>
      </c>
      <c r="Q177" s="368">
        <f>Grig1!C40</f>
        <v>33</v>
      </c>
      <c r="R177" s="369" t="str">
        <f t="shared" si="0"/>
        <v>-27,3</v>
      </c>
    </row>
    <row r="178" spans="15:18" ht="12.75">
      <c r="O178" s="367" t="s">
        <v>46</v>
      </c>
      <c r="P178" s="368">
        <f>Grig1!B42</f>
        <v>52</v>
      </c>
      <c r="Q178" s="368">
        <f>Grig1!C42</f>
        <v>38</v>
      </c>
      <c r="R178" s="369" t="str">
        <f t="shared" si="0"/>
        <v>36,8</v>
      </c>
    </row>
    <row r="179" spans="15:18" ht="12.75">
      <c r="O179" s="367" t="s">
        <v>48</v>
      </c>
      <c r="P179" s="368">
        <f>Grig1!B44</f>
        <v>85</v>
      </c>
      <c r="Q179" s="368">
        <f>Grig1!C44</f>
        <v>87</v>
      </c>
      <c r="R179" s="369" t="str">
        <f t="shared" si="0"/>
        <v>-2,3</v>
      </c>
    </row>
    <row r="180" spans="15:18" ht="12.75">
      <c r="O180" s="367" t="s">
        <v>50</v>
      </c>
      <c r="P180" s="368">
        <f>Grig1!B46</f>
        <v>14</v>
      </c>
      <c r="Q180" s="368">
        <f>Grig1!C46</f>
        <v>10</v>
      </c>
      <c r="R180" s="369" t="str">
        <f t="shared" si="0"/>
        <v>40,0</v>
      </c>
    </row>
    <row r="181" spans="15:18" ht="12.75">
      <c r="O181" s="367" t="s">
        <v>52</v>
      </c>
      <c r="P181" s="368">
        <f>Grig1!B48</f>
        <v>44</v>
      </c>
      <c r="Q181" s="368">
        <f>Grig1!C48</f>
        <v>57</v>
      </c>
      <c r="R181" s="369" t="str">
        <f t="shared" si="0"/>
        <v>-22,8</v>
      </c>
    </row>
    <row r="182" spans="15:18" ht="12.75">
      <c r="O182" s="367" t="s">
        <v>54</v>
      </c>
      <c r="P182" s="368">
        <f>Grig1!B50</f>
        <v>39</v>
      </c>
      <c r="Q182" s="368">
        <f>Grig1!C50</f>
        <v>46</v>
      </c>
      <c r="R182" s="369" t="str">
        <f t="shared" si="0"/>
        <v>-15,2</v>
      </c>
    </row>
    <row r="183" spans="15:18" ht="12.75">
      <c r="O183" s="367" t="s">
        <v>56</v>
      </c>
      <c r="P183" s="368">
        <f>Grig1!B52</f>
        <v>21</v>
      </c>
      <c r="Q183" s="368">
        <f>Grig1!C52</f>
        <v>18</v>
      </c>
      <c r="R183" s="369" t="str">
        <f t="shared" si="0"/>
        <v>16,7</v>
      </c>
    </row>
    <row r="184" spans="15:18" ht="12.75">
      <c r="O184" s="367" t="s">
        <v>58</v>
      </c>
      <c r="P184" s="368">
        <f>Grig1!B54</f>
        <v>17</v>
      </c>
      <c r="Q184" s="368">
        <f>Grig1!C54</f>
        <v>19</v>
      </c>
      <c r="R184" s="369" t="str">
        <f t="shared" si="0"/>
        <v>-10,5</v>
      </c>
    </row>
    <row r="185" spans="16:17" ht="12.75">
      <c r="P185" s="324">
        <f>SUM(P160:P184)</f>
        <v>1037</v>
      </c>
      <c r="Q185" s="324">
        <f>SUM(Q160:Q184)</f>
        <v>1087</v>
      </c>
    </row>
    <row r="187" spans="15:18" ht="12.75">
      <c r="O187" s="364" t="s">
        <v>2</v>
      </c>
      <c r="P187" s="591" t="s">
        <v>5</v>
      </c>
      <c r="Q187" s="591"/>
      <c r="R187" s="591"/>
    </row>
    <row r="188" spans="15:18" ht="12.75">
      <c r="O188" s="364"/>
      <c r="P188" s="372">
        <v>2012</v>
      </c>
      <c r="Q188" s="373">
        <v>2011</v>
      </c>
      <c r="R188" s="372" t="s">
        <v>9</v>
      </c>
    </row>
    <row r="189" spans="15:18" ht="12.75">
      <c r="O189" s="367" t="s">
        <v>11</v>
      </c>
      <c r="P189" s="374">
        <f>Grig1!H7</f>
        <v>5</v>
      </c>
      <c r="Q189" s="374">
        <f>Grig1!I7</f>
        <v>3</v>
      </c>
      <c r="R189" s="375" t="str">
        <f aca="true" t="shared" si="1" ref="R189:R213">IF(Q189&lt;&gt;0,TEXT(((P189-Q189)/Q189)*100,"0,0"),"--")</f>
        <v>66,7</v>
      </c>
    </row>
    <row r="190" spans="15:18" ht="12.75">
      <c r="O190" s="367" t="s">
        <v>12</v>
      </c>
      <c r="P190" s="374">
        <f>Grig1!H8</f>
        <v>9</v>
      </c>
      <c r="Q190" s="374">
        <f>Grig1!I8</f>
        <v>8</v>
      </c>
      <c r="R190" s="375" t="str">
        <f t="shared" si="1"/>
        <v>12,5</v>
      </c>
    </row>
    <row r="191" spans="15:18" ht="12.75">
      <c r="O191" s="367" t="s">
        <v>13</v>
      </c>
      <c r="P191" s="374">
        <f>Grig1!H9</f>
        <v>7</v>
      </c>
      <c r="Q191" s="374">
        <f>Grig1!I9</f>
        <v>5</v>
      </c>
      <c r="R191" s="375" t="str">
        <f t="shared" si="1"/>
        <v>40,0</v>
      </c>
    </row>
    <row r="192" spans="15:18" ht="12.75">
      <c r="O192" s="367" t="s">
        <v>14</v>
      </c>
      <c r="P192" s="374">
        <f>Grig1!H10</f>
        <v>8</v>
      </c>
      <c r="Q192" s="374">
        <f>Grig1!I10</f>
        <v>6</v>
      </c>
      <c r="R192" s="375" t="str">
        <f t="shared" si="1"/>
        <v>33,3</v>
      </c>
    </row>
    <row r="193" spans="15:18" ht="12.75">
      <c r="O193" s="367" t="s">
        <v>17</v>
      </c>
      <c r="P193" s="374">
        <f>Grig1!H13</f>
        <v>1</v>
      </c>
      <c r="Q193" s="374">
        <f>Grig1!I13</f>
        <v>5</v>
      </c>
      <c r="R193" s="375" t="str">
        <f t="shared" si="1"/>
        <v>-80,0</v>
      </c>
    </row>
    <row r="194" spans="15:18" ht="12.75">
      <c r="O194" s="367" t="s">
        <v>19</v>
      </c>
      <c r="P194" s="374">
        <f>Grig1!H15</f>
        <v>1</v>
      </c>
      <c r="Q194" s="374">
        <f>Grig1!I15</f>
        <v>0</v>
      </c>
      <c r="R194" s="375" t="str">
        <f t="shared" si="1"/>
        <v>--</v>
      </c>
    </row>
    <row r="195" spans="15:18" ht="12.75">
      <c r="O195" s="367" t="s">
        <v>21</v>
      </c>
      <c r="P195" s="374">
        <f>Grig1!H17</f>
        <v>2</v>
      </c>
      <c r="Q195" s="374">
        <f>Grig1!I17</f>
        <v>4</v>
      </c>
      <c r="R195" s="375" t="str">
        <f t="shared" si="1"/>
        <v>-50,0</v>
      </c>
    </row>
    <row r="196" spans="15:18" ht="12.75">
      <c r="O196" s="367" t="s">
        <v>23</v>
      </c>
      <c r="P196" s="374">
        <f>Grig1!H19</f>
        <v>1</v>
      </c>
      <c r="Q196" s="374">
        <f>Grig1!I19</f>
        <v>2</v>
      </c>
      <c r="R196" s="375" t="str">
        <f t="shared" si="1"/>
        <v>-50,0</v>
      </c>
    </row>
    <row r="197" spans="15:18" ht="12.75">
      <c r="O197" s="367" t="s">
        <v>26</v>
      </c>
      <c r="P197" s="374">
        <f>Grig1!H22</f>
        <v>13</v>
      </c>
      <c r="Q197" s="374">
        <f>Grig1!I22</f>
        <v>9</v>
      </c>
      <c r="R197" s="375" t="str">
        <f t="shared" si="1"/>
        <v>44,4</v>
      </c>
    </row>
    <row r="198" spans="15:18" ht="12.75">
      <c r="O198" s="367" t="s">
        <v>28</v>
      </c>
      <c r="P198" s="374">
        <f>Grig1!H24</f>
        <v>1</v>
      </c>
      <c r="Q198" s="374">
        <f>Grig1!I24</f>
        <v>2</v>
      </c>
      <c r="R198" s="375" t="str">
        <f t="shared" si="1"/>
        <v>-50,0</v>
      </c>
    </row>
    <row r="199" spans="15:18" ht="12.75">
      <c r="O199" s="367" t="s">
        <v>30</v>
      </c>
      <c r="P199" s="374">
        <f>Grig1!H26</f>
        <v>1</v>
      </c>
      <c r="Q199" s="374">
        <f>Grig1!I26</f>
        <v>5</v>
      </c>
      <c r="R199" s="375" t="str">
        <f t="shared" si="1"/>
        <v>-80,0</v>
      </c>
    </row>
    <row r="200" spans="15:18" ht="12.75">
      <c r="O200" s="367" t="s">
        <v>32</v>
      </c>
      <c r="P200" s="374">
        <f>Grig1!H28</f>
        <v>1</v>
      </c>
      <c r="Q200" s="374">
        <f>Grig1!I28</f>
        <v>3</v>
      </c>
      <c r="R200" s="375" t="str">
        <f t="shared" si="1"/>
        <v>-66,7</v>
      </c>
    </row>
    <row r="201" spans="15:18" ht="12.75">
      <c r="O201" s="367" t="s">
        <v>34</v>
      </c>
      <c r="P201" s="374">
        <f>Grig1!H30</f>
        <v>1</v>
      </c>
      <c r="Q201" s="374">
        <f>Grig1!I30</f>
        <v>7</v>
      </c>
      <c r="R201" s="375" t="str">
        <f t="shared" si="1"/>
        <v>-85,7</v>
      </c>
    </row>
    <row r="202" spans="15:18" ht="12.75">
      <c r="O202" s="367" t="s">
        <v>36</v>
      </c>
      <c r="P202" s="374">
        <f>Grig1!H32</f>
        <v>5</v>
      </c>
      <c r="Q202" s="374">
        <f>Grig1!I32</f>
        <v>4</v>
      </c>
      <c r="R202" s="375" t="str">
        <f t="shared" si="1"/>
        <v>25,0</v>
      </c>
    </row>
    <row r="203" spans="15:18" ht="12.75">
      <c r="O203" s="367" t="s">
        <v>38</v>
      </c>
      <c r="P203" s="374">
        <f>Grig1!H34</f>
        <v>7</v>
      </c>
      <c r="Q203" s="374">
        <f>Grig1!I34</f>
        <v>5</v>
      </c>
      <c r="R203" s="375" t="str">
        <f t="shared" si="1"/>
        <v>40,0</v>
      </c>
    </row>
    <row r="204" spans="15:18" ht="12.75">
      <c r="O204" s="370" t="s">
        <v>41</v>
      </c>
      <c r="P204" s="376">
        <f>Grig1!H37</f>
        <v>0</v>
      </c>
      <c r="Q204" s="376">
        <f>Grig1!I37</f>
        <v>2</v>
      </c>
      <c r="R204" s="371" t="str">
        <f t="shared" si="1"/>
        <v>-100,0</v>
      </c>
    </row>
    <row r="205" spans="15:18" ht="12.75">
      <c r="O205" s="367" t="s">
        <v>42</v>
      </c>
      <c r="P205" s="374">
        <f>Grig1!H38</f>
        <v>4</v>
      </c>
      <c r="Q205" s="374">
        <f>Grig1!I38</f>
        <v>3</v>
      </c>
      <c r="R205" s="375" t="str">
        <f t="shared" si="1"/>
        <v>33,3</v>
      </c>
    </row>
    <row r="206" spans="1:18" ht="12.75">
      <c r="A206" s="324" t="s">
        <v>242</v>
      </c>
      <c r="O206" s="367" t="s">
        <v>44</v>
      </c>
      <c r="P206" s="374">
        <f>Grig1!H40</f>
        <v>7</v>
      </c>
      <c r="Q206" s="374">
        <f>Grig1!I40</f>
        <v>2</v>
      </c>
      <c r="R206" s="375" t="str">
        <f t="shared" si="1"/>
        <v>250,0</v>
      </c>
    </row>
    <row r="207" spans="15:18" ht="12.75">
      <c r="O207" s="367" t="s">
        <v>46</v>
      </c>
      <c r="P207" s="374">
        <f>Grig1!H42</f>
        <v>6</v>
      </c>
      <c r="Q207" s="374">
        <f>Grig1!I42</f>
        <v>4</v>
      </c>
      <c r="R207" s="375" t="str">
        <f t="shared" si="1"/>
        <v>50,0</v>
      </c>
    </row>
    <row r="208" spans="15:18" ht="12.75">
      <c r="O208" s="367" t="s">
        <v>48</v>
      </c>
      <c r="P208" s="374">
        <f>Grig1!H44</f>
        <v>5</v>
      </c>
      <c r="Q208" s="374">
        <f>Grig1!I44</f>
        <v>8</v>
      </c>
      <c r="R208" s="375" t="str">
        <f t="shared" si="1"/>
        <v>-37,5</v>
      </c>
    </row>
    <row r="209" spans="15:18" ht="12.75">
      <c r="O209" s="367" t="s">
        <v>50</v>
      </c>
      <c r="P209" s="374">
        <f>Grig1!H46</f>
        <v>0</v>
      </c>
      <c r="Q209" s="374">
        <f>Grig1!I46</f>
        <v>1</v>
      </c>
      <c r="R209" s="375" t="str">
        <f t="shared" si="1"/>
        <v>-100,0</v>
      </c>
    </row>
    <row r="210" spans="15:18" ht="12.75">
      <c r="O210" s="367" t="s">
        <v>52</v>
      </c>
      <c r="P210" s="374">
        <f>Grig1!H48</f>
        <v>3</v>
      </c>
      <c r="Q210" s="374">
        <f>Grig1!I48</f>
        <v>8</v>
      </c>
      <c r="R210" s="375" t="str">
        <f t="shared" si="1"/>
        <v>-62,5</v>
      </c>
    </row>
    <row r="211" spans="15:18" ht="12.75">
      <c r="O211" s="367" t="s">
        <v>54</v>
      </c>
      <c r="P211" s="374">
        <f>Grig1!H50</f>
        <v>2</v>
      </c>
      <c r="Q211" s="374">
        <f>Grig1!I50</f>
        <v>5</v>
      </c>
      <c r="R211" s="375" t="str">
        <f t="shared" si="1"/>
        <v>-60,0</v>
      </c>
    </row>
    <row r="212" spans="15:18" ht="12.75">
      <c r="O212" s="367" t="s">
        <v>56</v>
      </c>
      <c r="P212" s="374">
        <f>Grig1!H52</f>
        <v>0</v>
      </c>
      <c r="Q212" s="374">
        <f>Grig1!I52</f>
        <v>1</v>
      </c>
      <c r="R212" s="375" t="str">
        <f t="shared" si="1"/>
        <v>-100,0</v>
      </c>
    </row>
    <row r="213" spans="15:18" ht="12.75">
      <c r="O213" s="367" t="s">
        <v>58</v>
      </c>
      <c r="P213" s="374">
        <f>Grig1!H54</f>
        <v>2</v>
      </c>
      <c r="Q213" s="374">
        <f>Grig1!I54</f>
        <v>0</v>
      </c>
      <c r="R213" s="375" t="str">
        <f t="shared" si="1"/>
        <v>--</v>
      </c>
    </row>
    <row r="214" spans="16:17" ht="12.75">
      <c r="P214" s="324">
        <f>SUM(P189:P213)</f>
        <v>92</v>
      </c>
      <c r="Q214" s="324">
        <f>SUM(Q189:Q213)</f>
        <v>102</v>
      </c>
    </row>
    <row r="216" spans="15:18" ht="13.5">
      <c r="O216" s="364" t="s">
        <v>2</v>
      </c>
      <c r="P216" s="590" t="s">
        <v>7</v>
      </c>
      <c r="Q216" s="590"/>
      <c r="R216" s="590"/>
    </row>
    <row r="217" spans="15:18" ht="12.75">
      <c r="O217" s="364"/>
      <c r="P217" s="365">
        <v>2012</v>
      </c>
      <c r="Q217" s="366">
        <v>2011</v>
      </c>
      <c r="R217" s="365" t="s">
        <v>9</v>
      </c>
    </row>
    <row r="218" spans="15:18" ht="12.75">
      <c r="O218" s="367" t="s">
        <v>11</v>
      </c>
      <c r="P218" s="376">
        <f>Grig1!K7</f>
        <v>10</v>
      </c>
      <c r="Q218" s="376">
        <f>Grig1!L7</f>
        <v>7</v>
      </c>
      <c r="R218" s="369" t="str">
        <f aca="true" t="shared" si="2" ref="R218:R242">IF(Q218&lt;&gt;0,TEXT(((P218-Q218)/Q218)*100,"0,0"),"--")</f>
        <v>42,9</v>
      </c>
    </row>
    <row r="219" spans="15:18" ht="12.75">
      <c r="O219" s="367" t="s">
        <v>12</v>
      </c>
      <c r="P219" s="376">
        <f>Grig1!K8</f>
        <v>23</v>
      </c>
      <c r="Q219" s="376">
        <f>Grig1!L8</f>
        <v>20</v>
      </c>
      <c r="R219" s="369" t="str">
        <f t="shared" si="2"/>
        <v>15,0</v>
      </c>
    </row>
    <row r="220" spans="15:18" ht="12.75">
      <c r="O220" s="367" t="s">
        <v>13</v>
      </c>
      <c r="P220" s="376">
        <f>Grig1!K9</f>
        <v>16</v>
      </c>
      <c r="Q220" s="376">
        <f>Grig1!L9</f>
        <v>17</v>
      </c>
      <c r="R220" s="369" t="str">
        <f t="shared" si="2"/>
        <v>-5,9</v>
      </c>
    </row>
    <row r="221" spans="15:18" ht="12.75">
      <c r="O221" s="367" t="s">
        <v>14</v>
      </c>
      <c r="P221" s="376">
        <f>Grig1!K10</f>
        <v>6</v>
      </c>
      <c r="Q221" s="376">
        <f>Grig1!L10</f>
        <v>3</v>
      </c>
      <c r="R221" s="369" t="str">
        <f t="shared" si="2"/>
        <v>100,0</v>
      </c>
    </row>
    <row r="222" spans="15:18" ht="12.75">
      <c r="O222" s="367" t="s">
        <v>17</v>
      </c>
      <c r="P222" s="376">
        <f>Grig1!K13</f>
        <v>1</v>
      </c>
      <c r="Q222" s="376">
        <f>Grig1!L13</f>
        <v>5</v>
      </c>
      <c r="R222" s="369" t="str">
        <f t="shared" si="2"/>
        <v>-80,0</v>
      </c>
    </row>
    <row r="223" spans="15:18" ht="12.75">
      <c r="O223" s="367" t="s">
        <v>19</v>
      </c>
      <c r="P223" s="376">
        <f>Grig1!K15</f>
        <v>2</v>
      </c>
      <c r="Q223" s="376">
        <f>Grig1!L15</f>
        <v>0</v>
      </c>
      <c r="R223" s="369" t="str">
        <f t="shared" si="2"/>
        <v>--</v>
      </c>
    </row>
    <row r="224" spans="15:18" ht="12.75">
      <c r="O224" s="367" t="s">
        <v>21</v>
      </c>
      <c r="P224" s="376">
        <f>Grig1!K17</f>
        <v>5</v>
      </c>
      <c r="Q224" s="376">
        <f>Grig1!L17</f>
        <v>2</v>
      </c>
      <c r="R224" s="369" t="str">
        <f t="shared" si="2"/>
        <v>150,0</v>
      </c>
    </row>
    <row r="225" spans="15:18" ht="12.75">
      <c r="O225" s="367" t="s">
        <v>23</v>
      </c>
      <c r="P225" s="376">
        <f>Grig1!K19</f>
        <v>2</v>
      </c>
      <c r="Q225" s="376">
        <f>Grig1!L19</f>
        <v>2</v>
      </c>
      <c r="R225" s="369" t="str">
        <f t="shared" si="2"/>
        <v>0,0</v>
      </c>
    </row>
    <row r="226" spans="15:18" ht="12.75">
      <c r="O226" s="367" t="s">
        <v>26</v>
      </c>
      <c r="P226" s="376">
        <f>Grig1!K22</f>
        <v>9</v>
      </c>
      <c r="Q226" s="376">
        <f>Grig1!L22</f>
        <v>3</v>
      </c>
      <c r="R226" s="369" t="str">
        <f t="shared" si="2"/>
        <v>200,0</v>
      </c>
    </row>
    <row r="227" spans="15:18" ht="12.75">
      <c r="O227" s="367" t="s">
        <v>28</v>
      </c>
      <c r="P227" s="376">
        <f>Grig1!K24</f>
        <v>1</v>
      </c>
      <c r="Q227" s="376">
        <f>Grig1!L24</f>
        <v>0</v>
      </c>
      <c r="R227" s="369" t="str">
        <f t="shared" si="2"/>
        <v>--</v>
      </c>
    </row>
    <row r="228" spans="15:18" ht="12.75">
      <c r="O228" s="367" t="s">
        <v>30</v>
      </c>
      <c r="P228" s="376">
        <f>Grig1!K26</f>
        <v>0</v>
      </c>
      <c r="Q228" s="376">
        <f>Grig1!L26</f>
        <v>0</v>
      </c>
      <c r="R228" s="369" t="str">
        <f t="shared" si="2"/>
        <v>--</v>
      </c>
    </row>
    <row r="229" spans="15:18" ht="12.75">
      <c r="O229" s="367" t="s">
        <v>32</v>
      </c>
      <c r="P229" s="376">
        <f>Grig1!K28</f>
        <v>1</v>
      </c>
      <c r="Q229" s="376">
        <f>Grig1!L28</f>
        <v>1</v>
      </c>
      <c r="R229" s="369" t="str">
        <f t="shared" si="2"/>
        <v>0,0</v>
      </c>
    </row>
    <row r="230" spans="15:18" ht="12.75">
      <c r="O230" s="367" t="s">
        <v>34</v>
      </c>
      <c r="P230" s="376">
        <f>Grig1!K30</f>
        <v>0</v>
      </c>
      <c r="Q230" s="376">
        <f>Grig1!L30</f>
        <v>2</v>
      </c>
      <c r="R230" s="369" t="str">
        <f t="shared" si="2"/>
        <v>-100,0</v>
      </c>
    </row>
    <row r="231" spans="15:18" ht="12.75">
      <c r="O231" s="367" t="s">
        <v>36</v>
      </c>
      <c r="P231" s="376">
        <f>Grig1!K32</f>
        <v>0</v>
      </c>
      <c r="Q231" s="376">
        <f>Grig1!L32</f>
        <v>3</v>
      </c>
      <c r="R231" s="369" t="str">
        <f t="shared" si="2"/>
        <v>-100,0</v>
      </c>
    </row>
    <row r="232" spans="15:18" ht="12.75">
      <c r="O232" s="367" t="s">
        <v>38</v>
      </c>
      <c r="P232" s="376">
        <f>Grig1!K34</f>
        <v>2</v>
      </c>
      <c r="Q232" s="376">
        <f>Grig1!L34</f>
        <v>2</v>
      </c>
      <c r="R232" s="369" t="str">
        <f t="shared" si="2"/>
        <v>0,0</v>
      </c>
    </row>
    <row r="233" spans="15:18" ht="12.75">
      <c r="O233" s="370" t="s">
        <v>41</v>
      </c>
      <c r="P233" s="376">
        <f>Grig1!K37</f>
        <v>8</v>
      </c>
      <c r="Q233" s="376">
        <f>Grig1!L37</f>
        <v>9</v>
      </c>
      <c r="R233" s="371" t="str">
        <f t="shared" si="2"/>
        <v>-11,1</v>
      </c>
    </row>
    <row r="234" spans="15:18" ht="12.75">
      <c r="O234" s="367" t="s">
        <v>42</v>
      </c>
      <c r="P234" s="376">
        <f>Grig1!K38</f>
        <v>0</v>
      </c>
      <c r="Q234" s="376">
        <f>Grig1!L38</f>
        <v>2</v>
      </c>
      <c r="R234" s="369" t="str">
        <f t="shared" si="2"/>
        <v>-100,0</v>
      </c>
    </row>
    <row r="235" spans="1:18" ht="12.75">
      <c r="A235" s="324" t="s">
        <v>243</v>
      </c>
      <c r="O235" s="367" t="s">
        <v>44</v>
      </c>
      <c r="P235" s="376">
        <f>Grig1!K40</f>
        <v>0</v>
      </c>
      <c r="Q235" s="376">
        <f>Grig1!L40</f>
        <v>1</v>
      </c>
      <c r="R235" s="369" t="str">
        <f t="shared" si="2"/>
        <v>-100,0</v>
      </c>
    </row>
    <row r="236" spans="15:18" ht="12.75">
      <c r="O236" s="367" t="s">
        <v>46</v>
      </c>
      <c r="P236" s="376">
        <f>Grig1!K42</f>
        <v>7</v>
      </c>
      <c r="Q236" s="376">
        <f>Grig1!L42</f>
        <v>2</v>
      </c>
      <c r="R236" s="369" t="str">
        <f t="shared" si="2"/>
        <v>250,0</v>
      </c>
    </row>
    <row r="237" spans="15:18" ht="12.75">
      <c r="O237" s="367" t="s">
        <v>48</v>
      </c>
      <c r="P237" s="376">
        <f>Grig1!K44</f>
        <v>7</v>
      </c>
      <c r="Q237" s="376">
        <f>Grig1!L44</f>
        <v>8</v>
      </c>
      <c r="R237" s="369" t="str">
        <f t="shared" si="2"/>
        <v>-12,5</v>
      </c>
    </row>
    <row r="238" spans="15:18" ht="12.75">
      <c r="O238" s="367" t="s">
        <v>50</v>
      </c>
      <c r="P238" s="376">
        <f>Grig1!K46</f>
        <v>0</v>
      </c>
      <c r="Q238" s="376">
        <f>Grig1!L46</f>
        <v>0</v>
      </c>
      <c r="R238" s="369" t="str">
        <f t="shared" si="2"/>
        <v>--</v>
      </c>
    </row>
    <row r="239" spans="15:18" ht="12.75">
      <c r="O239" s="367" t="s">
        <v>52</v>
      </c>
      <c r="P239" s="376">
        <f>Grig1!K48</f>
        <v>2</v>
      </c>
      <c r="Q239" s="376">
        <f>Grig1!L48</f>
        <v>4</v>
      </c>
      <c r="R239" s="369" t="str">
        <f t="shared" si="2"/>
        <v>-50,0</v>
      </c>
    </row>
    <row r="240" spans="15:18" ht="12.75">
      <c r="O240" s="367" t="s">
        <v>54</v>
      </c>
      <c r="P240" s="376">
        <f>Grig1!K50</f>
        <v>9</v>
      </c>
      <c r="Q240" s="376">
        <f>Grig1!L50</f>
        <v>1</v>
      </c>
      <c r="R240" s="369" t="str">
        <f t="shared" si="2"/>
        <v>800,0</v>
      </c>
    </row>
    <row r="241" spans="15:18" ht="12.75">
      <c r="O241" s="367" t="s">
        <v>56</v>
      </c>
      <c r="P241" s="376">
        <f>Grig1!K52</f>
        <v>1</v>
      </c>
      <c r="Q241" s="376">
        <f>Grig1!L52</f>
        <v>2</v>
      </c>
      <c r="R241" s="369" t="str">
        <f t="shared" si="2"/>
        <v>-50,0</v>
      </c>
    </row>
    <row r="242" spans="15:18" ht="12.75">
      <c r="O242" s="367" t="s">
        <v>58</v>
      </c>
      <c r="P242" s="376">
        <f>Grig1!K54</f>
        <v>0</v>
      </c>
      <c r="Q242" s="376">
        <f>Grig1!L54</f>
        <v>0</v>
      </c>
      <c r="R242" s="369" t="str">
        <f t="shared" si="2"/>
        <v>--</v>
      </c>
    </row>
    <row r="243" spans="16:17" ht="12.75">
      <c r="P243" s="324">
        <f>SUM(P218:P242)</f>
        <v>112</v>
      </c>
      <c r="Q243" s="324">
        <f>SUM(Q218:Q242)</f>
        <v>96</v>
      </c>
    </row>
    <row r="258" spans="15:30" ht="13.5">
      <c r="O258" s="364" t="s">
        <v>2</v>
      </c>
      <c r="P258" s="590" t="s">
        <v>3</v>
      </c>
      <c r="Q258" s="590"/>
      <c r="R258" s="590"/>
      <c r="S258" s="592" t="s">
        <v>4</v>
      </c>
      <c r="T258" s="592"/>
      <c r="U258" s="592"/>
      <c r="V258" s="591" t="s">
        <v>5</v>
      </c>
      <c r="W258" s="591"/>
      <c r="X258" s="591"/>
      <c r="Y258" s="590" t="s">
        <v>7</v>
      </c>
      <c r="Z258" s="590"/>
      <c r="AA258" s="590"/>
      <c r="AB258" s="592" t="s">
        <v>8</v>
      </c>
      <c r="AC258" s="592"/>
      <c r="AD258" s="592"/>
    </row>
    <row r="259" spans="15:30" ht="12.75">
      <c r="O259" s="364"/>
      <c r="P259" s="365">
        <v>2012</v>
      </c>
      <c r="Q259" s="366">
        <v>2011</v>
      </c>
      <c r="R259" s="365" t="s">
        <v>9</v>
      </c>
      <c r="S259" s="365">
        <v>2012</v>
      </c>
      <c r="T259" s="366">
        <v>2011</v>
      </c>
      <c r="U259" s="365" t="s">
        <v>9</v>
      </c>
      <c r="V259" s="372">
        <v>2012</v>
      </c>
      <c r="W259" s="373">
        <v>2011</v>
      </c>
      <c r="X259" s="372" t="s">
        <v>9</v>
      </c>
      <c r="Y259" s="365">
        <v>2012</v>
      </c>
      <c r="Z259" s="366">
        <v>2011</v>
      </c>
      <c r="AA259" s="365" t="s">
        <v>9</v>
      </c>
      <c r="AB259" s="365">
        <v>2012</v>
      </c>
      <c r="AC259" s="366">
        <v>2011</v>
      </c>
      <c r="AD259" s="365" t="s">
        <v>9</v>
      </c>
    </row>
    <row r="260" spans="15:30" ht="12.75">
      <c r="O260" s="367" t="s">
        <v>10</v>
      </c>
      <c r="P260" s="376">
        <f>P261+P262+P263</f>
        <v>228</v>
      </c>
      <c r="Q260" s="370">
        <f>Q261+Q262+Q263</f>
        <v>234</v>
      </c>
      <c r="R260" s="371" t="str">
        <f aca="true" t="shared" si="3" ref="R260:R291">IF(Q260&lt;&gt;0,TEXT(((P260-Q260)/Q260)*100,"0,0"),"--")</f>
        <v>-2,6</v>
      </c>
      <c r="S260" s="377">
        <f>S261+S262+S263</f>
        <v>19722406</v>
      </c>
      <c r="T260" s="378">
        <f>T261+T262+T263</f>
        <v>14008557</v>
      </c>
      <c r="U260" s="371" t="str">
        <f aca="true" t="shared" si="4" ref="U260:U291">IF(T260&lt;&gt;0,TEXT(((S260-T260)/T260)*100,"0,0"),"--")</f>
        <v>40,8</v>
      </c>
      <c r="V260" s="376">
        <f>V261+V262+V263</f>
        <v>21</v>
      </c>
      <c r="W260" s="370">
        <f>W261+W262+W263</f>
        <v>16</v>
      </c>
      <c r="X260" s="371" t="str">
        <f aca="true" t="shared" si="5" ref="X260:X291">IF(W260&lt;&gt;0,TEXT(((V260-W260)/W260)*100,"0,0"),"--")</f>
        <v>31,3</v>
      </c>
      <c r="Y260" s="376">
        <f>Y261+Y262+Y263</f>
        <v>49</v>
      </c>
      <c r="Z260" s="370">
        <f>Z261+Z262+Z263</f>
        <v>44</v>
      </c>
      <c r="AA260" s="371" t="str">
        <f aca="true" t="shared" si="6" ref="AA260:AA291">IF(Z260&lt;&gt;0,TEXT(((Y260-Z260)/Z260)*100,"0,0"),"--")</f>
        <v>11,4</v>
      </c>
      <c r="AB260" s="376">
        <f>AB261+AB262+AB263</f>
        <v>196</v>
      </c>
      <c r="AC260" s="370">
        <f>AC261+AC262+AC263</f>
        <v>162</v>
      </c>
      <c r="AD260" s="371" t="str">
        <f aca="true" t="shared" si="7" ref="AD260:AD291">IF(AC260&lt;&gt;0,TEXT(((AB260-AC260)/AC260)*100,"0,0"),"--")</f>
        <v>21,0</v>
      </c>
    </row>
    <row r="261" spans="15:30" ht="12.75">
      <c r="O261" s="367" t="s">
        <v>11</v>
      </c>
      <c r="P261" s="368">
        <f>Grig1!B7</f>
        <v>62</v>
      </c>
      <c r="Q261" s="368">
        <f>Grig1!C7</f>
        <v>58</v>
      </c>
      <c r="R261" s="369" t="str">
        <f t="shared" si="3"/>
        <v>6,9</v>
      </c>
      <c r="S261" s="379">
        <f>Grig1!E7</f>
        <v>7965575</v>
      </c>
      <c r="T261" s="379">
        <f>Grig1!F7</f>
        <v>4055278</v>
      </c>
      <c r="U261" s="369" t="str">
        <f t="shared" si="4"/>
        <v>96,4</v>
      </c>
      <c r="V261" s="374">
        <f>Grig1!H7</f>
        <v>5</v>
      </c>
      <c r="W261" s="374">
        <f>Grig1!I7</f>
        <v>3</v>
      </c>
      <c r="X261" s="375" t="str">
        <f t="shared" si="5"/>
        <v>66,7</v>
      </c>
      <c r="Y261" s="368">
        <f>Grig1!K7</f>
        <v>10</v>
      </c>
      <c r="Z261" s="368">
        <f>Grig1!L7</f>
        <v>7</v>
      </c>
      <c r="AA261" s="369" t="str">
        <f t="shared" si="6"/>
        <v>42,9</v>
      </c>
      <c r="AB261" s="368">
        <f>Grig1!N7</f>
        <v>61</v>
      </c>
      <c r="AC261" s="368">
        <f>Grig1!O7</f>
        <v>43</v>
      </c>
      <c r="AD261" s="369" t="str">
        <f t="shared" si="7"/>
        <v>41,9</v>
      </c>
    </row>
    <row r="262" spans="15:30" ht="12.75">
      <c r="O262" s="367" t="s">
        <v>12</v>
      </c>
      <c r="P262" s="368">
        <f>Grig1!B8</f>
        <v>76</v>
      </c>
      <c r="Q262" s="368">
        <f>Grig1!C8</f>
        <v>84</v>
      </c>
      <c r="R262" s="369" t="str">
        <f t="shared" si="3"/>
        <v>-9,5</v>
      </c>
      <c r="S262" s="379">
        <f>Grig1!E8</f>
        <v>4174505</v>
      </c>
      <c r="T262" s="379">
        <f>Grig1!F8</f>
        <v>5800179</v>
      </c>
      <c r="U262" s="369" t="str">
        <f t="shared" si="4"/>
        <v>-28,0</v>
      </c>
      <c r="V262" s="374">
        <f>Grig1!H8</f>
        <v>9</v>
      </c>
      <c r="W262" s="374">
        <f>Grig1!I8</f>
        <v>8</v>
      </c>
      <c r="X262" s="375" t="str">
        <f t="shared" si="5"/>
        <v>12,5</v>
      </c>
      <c r="Y262" s="368">
        <f>Grig1!K8</f>
        <v>23</v>
      </c>
      <c r="Z262" s="368">
        <f>Grig1!L8</f>
        <v>20</v>
      </c>
      <c r="AA262" s="369" t="str">
        <f t="shared" si="6"/>
        <v>15,0</v>
      </c>
      <c r="AB262" s="368">
        <f>Grig1!N8</f>
        <v>50</v>
      </c>
      <c r="AC262" s="368">
        <f>Grig1!O8</f>
        <v>56</v>
      </c>
      <c r="AD262" s="369" t="str">
        <f t="shared" si="7"/>
        <v>-10,7</v>
      </c>
    </row>
    <row r="263" spans="1:30" ht="12.75">
      <c r="A263" s="324" t="s">
        <v>244</v>
      </c>
      <c r="O263" s="367" t="s">
        <v>13</v>
      </c>
      <c r="P263" s="368">
        <f>Grig1!B9</f>
        <v>90</v>
      </c>
      <c r="Q263" s="368">
        <f>Grig1!C9</f>
        <v>92</v>
      </c>
      <c r="R263" s="369" t="str">
        <f t="shared" si="3"/>
        <v>-2,2</v>
      </c>
      <c r="S263" s="379">
        <f>Grig1!E9</f>
        <v>7582326</v>
      </c>
      <c r="T263" s="379">
        <f>Grig1!F9</f>
        <v>4153100</v>
      </c>
      <c r="U263" s="369" t="str">
        <f t="shared" si="4"/>
        <v>82,6</v>
      </c>
      <c r="V263" s="374">
        <f>Grig1!H9</f>
        <v>7</v>
      </c>
      <c r="W263" s="374">
        <f>Grig1!I9</f>
        <v>5</v>
      </c>
      <c r="X263" s="375" t="str">
        <f t="shared" si="5"/>
        <v>40,0</v>
      </c>
      <c r="Y263" s="368">
        <f>Grig1!K9</f>
        <v>16</v>
      </c>
      <c r="Z263" s="368">
        <f>Grig1!L9</f>
        <v>17</v>
      </c>
      <c r="AA263" s="369" t="str">
        <f t="shared" si="6"/>
        <v>-5,9</v>
      </c>
      <c r="AB263" s="368">
        <f>Grig1!N9</f>
        <v>85</v>
      </c>
      <c r="AC263" s="368">
        <f>Grig1!O9</f>
        <v>63</v>
      </c>
      <c r="AD263" s="369" t="str">
        <f t="shared" si="7"/>
        <v>34,9</v>
      </c>
    </row>
    <row r="264" spans="15:30" ht="12.75">
      <c r="O264" s="367" t="s">
        <v>14</v>
      </c>
      <c r="P264" s="368">
        <f>Grig1!B10</f>
        <v>52</v>
      </c>
      <c r="Q264" s="368">
        <f>Grig1!C10</f>
        <v>76</v>
      </c>
      <c r="R264" s="369" t="str">
        <f t="shared" si="3"/>
        <v>-31,6</v>
      </c>
      <c r="S264" s="379">
        <f>Grig1!E10</f>
        <v>4906357</v>
      </c>
      <c r="T264" s="379">
        <f>Grig1!F10</f>
        <v>4388550</v>
      </c>
      <c r="U264" s="369" t="str">
        <f t="shared" si="4"/>
        <v>11,8</v>
      </c>
      <c r="V264" s="374">
        <f>Grig1!H10</f>
        <v>8</v>
      </c>
      <c r="W264" s="374">
        <f>Grig1!I10</f>
        <v>6</v>
      </c>
      <c r="X264" s="375" t="str">
        <f t="shared" si="5"/>
        <v>33,3</v>
      </c>
      <c r="Y264" s="368">
        <f>Grig1!K10</f>
        <v>6</v>
      </c>
      <c r="Z264" s="368">
        <f>Grig1!L10</f>
        <v>3</v>
      </c>
      <c r="AA264" s="369" t="str">
        <f t="shared" si="6"/>
        <v>100,0</v>
      </c>
      <c r="AB264" s="368">
        <f>Grig1!N10</f>
        <v>7</v>
      </c>
      <c r="AC264" s="368">
        <f>Grig1!O10</f>
        <v>10</v>
      </c>
      <c r="AD264" s="369" t="str">
        <f t="shared" si="7"/>
        <v>-30,0</v>
      </c>
    </row>
    <row r="265" spans="15:30" ht="12.75">
      <c r="O265" s="367" t="s">
        <v>15</v>
      </c>
      <c r="P265" s="368">
        <f>Grig1!B11</f>
        <v>28</v>
      </c>
      <c r="Q265" s="368">
        <f>Grig1!C11</f>
        <v>1087</v>
      </c>
      <c r="R265" s="369" t="str">
        <f t="shared" si="3"/>
        <v>-97,4</v>
      </c>
      <c r="S265" s="379">
        <f>Grig1!E11</f>
        <v>1154000</v>
      </c>
      <c r="T265" s="379">
        <f>Grig1!F11</f>
        <v>298000</v>
      </c>
      <c r="U265" s="369" t="str">
        <f t="shared" si="4"/>
        <v>287,2</v>
      </c>
      <c r="V265" s="374">
        <f>Grig1!H11</f>
        <v>7</v>
      </c>
      <c r="W265" s="374">
        <f>Grig1!I11</f>
        <v>139</v>
      </c>
      <c r="X265" s="375" t="str">
        <f t="shared" si="5"/>
        <v>-95,0</v>
      </c>
      <c r="Y265" s="368">
        <f>Grig1!K11</f>
        <v>2</v>
      </c>
      <c r="Z265" s="368">
        <f>Grig1!L11</f>
        <v>533</v>
      </c>
      <c r="AA265" s="369" t="str">
        <f t="shared" si="6"/>
        <v>-99,6</v>
      </c>
      <c r="AB265" s="368">
        <f>Grig1!N11</f>
        <v>3</v>
      </c>
      <c r="AC265" s="368">
        <f>Grig1!O11</f>
        <v>39</v>
      </c>
      <c r="AD265" s="369" t="str">
        <f t="shared" si="7"/>
        <v>-92,3</v>
      </c>
    </row>
    <row r="266" spans="15:30" ht="12.75">
      <c r="O266" s="367" t="s">
        <v>16</v>
      </c>
      <c r="P266" s="368">
        <f>Grig1!B12</f>
        <v>0</v>
      </c>
      <c r="Q266" s="368">
        <f>Grig1!C12</f>
        <v>10</v>
      </c>
      <c r="R266" s="369" t="str">
        <f t="shared" si="3"/>
        <v>-100,0</v>
      </c>
      <c r="S266" s="379">
        <f>Grig1!E12</f>
        <v>0</v>
      </c>
      <c r="T266" s="379">
        <f>Grig1!F12</f>
        <v>260000</v>
      </c>
      <c r="U266" s="369" t="str">
        <f t="shared" si="4"/>
        <v>-100,0</v>
      </c>
      <c r="V266" s="374">
        <f>Grig1!H12</f>
        <v>0</v>
      </c>
      <c r="W266" s="374">
        <f>Grig1!I12</f>
        <v>0</v>
      </c>
      <c r="X266" s="375" t="str">
        <f t="shared" si="5"/>
        <v>--</v>
      </c>
      <c r="Y266" s="368">
        <f>Grig1!K12</f>
        <v>0</v>
      </c>
      <c r="Z266" s="368">
        <f>Grig1!L12</f>
        <v>0</v>
      </c>
      <c r="AA266" s="369" t="str">
        <f t="shared" si="6"/>
        <v>--</v>
      </c>
      <c r="AB266" s="368">
        <f>Grig1!N12</f>
        <v>0</v>
      </c>
      <c r="AC266" s="368">
        <f>Grig1!O12</f>
        <v>0</v>
      </c>
      <c r="AD266" s="369" t="str">
        <f t="shared" si="7"/>
        <v>--</v>
      </c>
    </row>
    <row r="267" spans="15:30" ht="12.75">
      <c r="O267" s="367" t="s">
        <v>17</v>
      </c>
      <c r="P267" s="368">
        <f>Grig1!B13</f>
        <v>23</v>
      </c>
      <c r="Q267" s="368">
        <f>Grig1!C13</f>
        <v>23</v>
      </c>
      <c r="R267" s="369" t="str">
        <f t="shared" si="3"/>
        <v>0,0</v>
      </c>
      <c r="S267" s="379">
        <f>Grig1!E13</f>
        <v>662500</v>
      </c>
      <c r="T267" s="379">
        <f>Grig1!F13</f>
        <v>2349782</v>
      </c>
      <c r="U267" s="369" t="str">
        <f t="shared" si="4"/>
        <v>-71,8</v>
      </c>
      <c r="V267" s="374">
        <f>Grig1!H13</f>
        <v>1</v>
      </c>
      <c r="W267" s="374">
        <f>Grig1!I13</f>
        <v>5</v>
      </c>
      <c r="X267" s="375" t="str">
        <f t="shared" si="5"/>
        <v>-80,0</v>
      </c>
      <c r="Y267" s="368">
        <f>Grig1!K13</f>
        <v>1</v>
      </c>
      <c r="Z267" s="368">
        <f>Grig1!L13</f>
        <v>5</v>
      </c>
      <c r="AA267" s="369" t="str">
        <f t="shared" si="6"/>
        <v>-80,0</v>
      </c>
      <c r="AB267" s="368">
        <f>Grig1!N13</f>
        <v>0</v>
      </c>
      <c r="AC267" s="368">
        <f>Grig1!O13</f>
        <v>3</v>
      </c>
      <c r="AD267" s="369" t="str">
        <f t="shared" si="7"/>
        <v>-100,0</v>
      </c>
    </row>
    <row r="268" spans="15:30" ht="12.75">
      <c r="O268" s="367" t="s">
        <v>18</v>
      </c>
      <c r="P268" s="368">
        <f>Grig1!B14</f>
        <v>38</v>
      </c>
      <c r="Q268" s="368">
        <f>Grig1!C14</f>
        <v>9</v>
      </c>
      <c r="R268" s="369" t="str">
        <f t="shared" si="3"/>
        <v>322,2</v>
      </c>
      <c r="S268" s="379">
        <f>Grig1!E14</f>
        <v>2</v>
      </c>
      <c r="T268" s="379">
        <f>Grig1!F14</f>
        <v>0</v>
      </c>
      <c r="U268" s="369" t="str">
        <f t="shared" si="4"/>
        <v>--</v>
      </c>
      <c r="V268" s="374">
        <f>Grig1!H14</f>
        <v>2</v>
      </c>
      <c r="W268" s="374">
        <f>Grig1!I14</f>
        <v>0</v>
      </c>
      <c r="X268" s="375" t="str">
        <f t="shared" si="5"/>
        <v>--</v>
      </c>
      <c r="Y268" s="368">
        <f>Grig1!K14</f>
        <v>20</v>
      </c>
      <c r="Z268" s="368">
        <f>Grig1!L14</f>
        <v>5</v>
      </c>
      <c r="AA268" s="369" t="str">
        <f t="shared" si="6"/>
        <v>300,0</v>
      </c>
      <c r="AB268" s="368">
        <f>Grig1!N14</f>
        <v>0</v>
      </c>
      <c r="AC268" s="368">
        <f>Grig1!O14</f>
        <v>0</v>
      </c>
      <c r="AD268" s="369" t="str">
        <f t="shared" si="7"/>
        <v>--</v>
      </c>
    </row>
    <row r="269" spans="15:30" ht="12.75">
      <c r="O269" s="367" t="s">
        <v>19</v>
      </c>
      <c r="P269" s="368">
        <f>Grig1!B15</f>
        <v>38</v>
      </c>
      <c r="Q269" s="368">
        <f>Grig1!C15</f>
        <v>36</v>
      </c>
      <c r="R269" s="369" t="str">
        <f t="shared" si="3"/>
        <v>5,6</v>
      </c>
      <c r="S269" s="379">
        <f>Grig1!E15</f>
        <v>1339820</v>
      </c>
      <c r="T269" s="379">
        <f>Grig1!F15</f>
        <v>1882588</v>
      </c>
      <c r="U269" s="369" t="str">
        <f t="shared" si="4"/>
        <v>-28,8</v>
      </c>
      <c r="V269" s="374">
        <f>Grig1!H15</f>
        <v>1</v>
      </c>
      <c r="W269" s="374">
        <f>Grig1!I15</f>
        <v>0</v>
      </c>
      <c r="X269" s="375" t="str">
        <f t="shared" si="5"/>
        <v>--</v>
      </c>
      <c r="Y269" s="368">
        <f>Grig1!K15</f>
        <v>2</v>
      </c>
      <c r="Z269" s="368">
        <f>Grig1!L15</f>
        <v>0</v>
      </c>
      <c r="AA269" s="369" t="str">
        <f t="shared" si="6"/>
        <v>--</v>
      </c>
      <c r="AB269" s="368">
        <f>Grig1!N15</f>
        <v>2</v>
      </c>
      <c r="AC269" s="368">
        <f>Grig1!O15</f>
        <v>1</v>
      </c>
      <c r="AD269" s="369" t="str">
        <f t="shared" si="7"/>
        <v>100,0</v>
      </c>
    </row>
    <row r="270" spans="15:30" ht="12.75">
      <c r="O270" s="367" t="s">
        <v>20</v>
      </c>
      <c r="P270" s="368">
        <f>Grig1!B16</f>
        <v>34</v>
      </c>
      <c r="Q270" s="368">
        <f>Grig1!C16</f>
        <v>3</v>
      </c>
      <c r="R270" s="369" t="str">
        <f t="shared" si="3"/>
        <v>1033,3</v>
      </c>
      <c r="S270" s="379">
        <f>Grig1!E16</f>
        <v>2</v>
      </c>
      <c r="T270" s="379">
        <f>Grig1!F16</f>
        <v>0</v>
      </c>
      <c r="U270" s="369" t="str">
        <f t="shared" si="4"/>
        <v>--</v>
      </c>
      <c r="V270" s="374">
        <f>Grig1!H16</f>
        <v>2</v>
      </c>
      <c r="W270" s="374">
        <f>Grig1!I16</f>
        <v>0</v>
      </c>
      <c r="X270" s="375" t="str">
        <f t="shared" si="5"/>
        <v>--</v>
      </c>
      <c r="Y270" s="368">
        <f>Grig1!K16</f>
        <v>12</v>
      </c>
      <c r="Z270" s="368">
        <f>Grig1!L16</f>
        <v>1</v>
      </c>
      <c r="AA270" s="369" t="str">
        <f t="shared" si="6"/>
        <v>1100,0</v>
      </c>
      <c r="AB270" s="368">
        <f>Grig1!N16</f>
        <v>0</v>
      </c>
      <c r="AC270" s="368">
        <f>Grig1!O16</f>
        <v>0</v>
      </c>
      <c r="AD270" s="369" t="str">
        <f t="shared" si="7"/>
        <v>--</v>
      </c>
    </row>
    <row r="271" spans="15:30" ht="12.75">
      <c r="O271" s="367" t="s">
        <v>21</v>
      </c>
      <c r="P271" s="368">
        <f>Grig1!B17</f>
        <v>50</v>
      </c>
      <c r="Q271" s="368">
        <f>Grig1!C17</f>
        <v>53</v>
      </c>
      <c r="R271" s="369" t="str">
        <f t="shared" si="3"/>
        <v>-5,7</v>
      </c>
      <c r="S271" s="379">
        <f>Grig1!E17</f>
        <v>2341227</v>
      </c>
      <c r="T271" s="379">
        <f>Grig1!F17</f>
        <v>3482390</v>
      </c>
      <c r="U271" s="369" t="str">
        <f t="shared" si="4"/>
        <v>-32,8</v>
      </c>
      <c r="V271" s="374">
        <f>Grig1!H17</f>
        <v>2</v>
      </c>
      <c r="W271" s="374">
        <f>Grig1!I17</f>
        <v>4</v>
      </c>
      <c r="X271" s="375" t="str">
        <f t="shared" si="5"/>
        <v>-50,0</v>
      </c>
      <c r="Y271" s="368">
        <f>Grig1!K17</f>
        <v>5</v>
      </c>
      <c r="Z271" s="368">
        <f>Grig1!L17</f>
        <v>2</v>
      </c>
      <c r="AA271" s="369" t="str">
        <f t="shared" si="6"/>
        <v>150,0</v>
      </c>
      <c r="AB271" s="368">
        <f>Grig1!N17</f>
        <v>1</v>
      </c>
      <c r="AC271" s="368">
        <f>Grig1!O17</f>
        <v>14</v>
      </c>
      <c r="AD271" s="369" t="str">
        <f t="shared" si="7"/>
        <v>-92,9</v>
      </c>
    </row>
    <row r="272" spans="15:30" ht="12.75">
      <c r="O272" s="367" t="s">
        <v>22</v>
      </c>
      <c r="P272" s="368">
        <f>Grig1!B18</f>
        <v>28</v>
      </c>
      <c r="Q272" s="368">
        <f>Grig1!C18</f>
        <v>2</v>
      </c>
      <c r="R272" s="369" t="str">
        <f t="shared" si="3"/>
        <v>1300,0</v>
      </c>
      <c r="S272" s="379">
        <f>Grig1!E18</f>
        <v>1</v>
      </c>
      <c r="T272" s="379">
        <f>Grig1!F18</f>
        <v>0</v>
      </c>
      <c r="U272" s="369" t="str">
        <f t="shared" si="4"/>
        <v>--</v>
      </c>
      <c r="V272" s="374">
        <f>Grig1!H18</f>
        <v>4</v>
      </c>
      <c r="W272" s="374">
        <f>Grig1!I18</f>
        <v>0</v>
      </c>
      <c r="X272" s="375" t="str">
        <f t="shared" si="5"/>
        <v>--</v>
      </c>
      <c r="Y272" s="368">
        <f>Grig1!K18</f>
        <v>10</v>
      </c>
      <c r="Z272" s="368">
        <f>Grig1!L18</f>
        <v>0</v>
      </c>
      <c r="AA272" s="369" t="str">
        <f t="shared" si="6"/>
        <v>--</v>
      </c>
      <c r="AB272" s="368">
        <f>Grig1!N18</f>
        <v>0</v>
      </c>
      <c r="AC272" s="368">
        <f>Grig1!O18</f>
        <v>0</v>
      </c>
      <c r="AD272" s="369" t="str">
        <f t="shared" si="7"/>
        <v>--</v>
      </c>
    </row>
    <row r="273" spans="15:30" ht="12.75">
      <c r="O273" s="367" t="s">
        <v>23</v>
      </c>
      <c r="P273" s="368">
        <f>Grig1!B19</f>
        <v>34</v>
      </c>
      <c r="Q273" s="368">
        <f>Grig1!C19</f>
        <v>33</v>
      </c>
      <c r="R273" s="369" t="str">
        <f t="shared" si="3"/>
        <v>3,0</v>
      </c>
      <c r="S273" s="379">
        <f>Grig1!E19</f>
        <v>4619076</v>
      </c>
      <c r="T273" s="379">
        <f>Grig1!F19</f>
        <v>2922500</v>
      </c>
      <c r="U273" s="369" t="str">
        <f t="shared" si="4"/>
        <v>58,1</v>
      </c>
      <c r="V273" s="374">
        <f>Grig1!H19</f>
        <v>1</v>
      </c>
      <c r="W273" s="374">
        <f>Grig1!I19</f>
        <v>2</v>
      </c>
      <c r="X273" s="375" t="str">
        <f t="shared" si="5"/>
        <v>-50,0</v>
      </c>
      <c r="Y273" s="368">
        <f>Grig1!K19</f>
        <v>2</v>
      </c>
      <c r="Z273" s="368">
        <f>Grig1!L19</f>
        <v>2</v>
      </c>
      <c r="AA273" s="369" t="str">
        <f t="shared" si="6"/>
        <v>0,0</v>
      </c>
      <c r="AB273" s="368">
        <f>Grig1!N19</f>
        <v>0</v>
      </c>
      <c r="AC273" s="368">
        <f>Grig1!O19</f>
        <v>5</v>
      </c>
      <c r="AD273" s="369" t="str">
        <f t="shared" si="7"/>
        <v>-100,0</v>
      </c>
    </row>
    <row r="274" spans="15:30" ht="12.75">
      <c r="O274" s="367" t="s">
        <v>24</v>
      </c>
      <c r="P274" s="368">
        <f>Grig1!B20</f>
        <v>15</v>
      </c>
      <c r="Q274" s="368">
        <f>Grig1!C20</f>
        <v>0</v>
      </c>
      <c r="R274" s="369" t="str">
        <f t="shared" si="3"/>
        <v>--</v>
      </c>
      <c r="S274" s="379">
        <f>Grig1!E20</f>
        <v>1</v>
      </c>
      <c r="T274" s="379">
        <f>Grig1!F20</f>
        <v>0</v>
      </c>
      <c r="U274" s="369" t="str">
        <f t="shared" si="4"/>
        <v>--</v>
      </c>
      <c r="V274" s="374">
        <f>Grig1!H20</f>
        <v>0</v>
      </c>
      <c r="W274" s="374">
        <f>Grig1!I20</f>
        <v>0</v>
      </c>
      <c r="X274" s="375" t="str">
        <f t="shared" si="5"/>
        <v>--</v>
      </c>
      <c r="Y274" s="368">
        <f>Grig1!K20</f>
        <v>6</v>
      </c>
      <c r="Z274" s="368">
        <f>Grig1!L20</f>
        <v>0</v>
      </c>
      <c r="AA274" s="369" t="str">
        <f t="shared" si="6"/>
        <v>--</v>
      </c>
      <c r="AB274" s="368">
        <f>Grig1!N20</f>
        <v>0</v>
      </c>
      <c r="AC274" s="368">
        <f>Grig1!O20</f>
        <v>0</v>
      </c>
      <c r="AD274" s="369" t="str">
        <f t="shared" si="7"/>
        <v>--</v>
      </c>
    </row>
    <row r="275" spans="15:30" ht="12.75">
      <c r="O275" s="367" t="s">
        <v>25</v>
      </c>
      <c r="P275" s="368">
        <f>Grig1!B21</f>
        <v>38</v>
      </c>
      <c r="Q275" s="368">
        <f>Grig1!C21</f>
        <v>0</v>
      </c>
      <c r="R275" s="369" t="str">
        <f t="shared" si="3"/>
        <v>--</v>
      </c>
      <c r="S275" s="379">
        <f>Grig1!E21</f>
        <v>0</v>
      </c>
      <c r="T275" s="379">
        <f>Grig1!F21</f>
        <v>0</v>
      </c>
      <c r="U275" s="369" t="str">
        <f t="shared" si="4"/>
        <v>--</v>
      </c>
      <c r="V275" s="374">
        <f>Grig1!H21</f>
        <v>0</v>
      </c>
      <c r="W275" s="374">
        <f>Grig1!I21</f>
        <v>0</v>
      </c>
      <c r="X275" s="375" t="str">
        <f t="shared" si="5"/>
        <v>--</v>
      </c>
      <c r="Y275" s="368">
        <f>Grig1!K21</f>
        <v>33</v>
      </c>
      <c r="Z275" s="368">
        <f>Grig1!L21</f>
        <v>0</v>
      </c>
      <c r="AA275" s="369" t="str">
        <f t="shared" si="6"/>
        <v>--</v>
      </c>
      <c r="AB275" s="368">
        <f>Grig1!N21</f>
        <v>0</v>
      </c>
      <c r="AC275" s="368">
        <f>Grig1!O21</f>
        <v>0</v>
      </c>
      <c r="AD275" s="369" t="str">
        <f t="shared" si="7"/>
        <v>--</v>
      </c>
    </row>
    <row r="276" spans="15:30" ht="12.75">
      <c r="O276" s="367" t="s">
        <v>26</v>
      </c>
      <c r="P276" s="368">
        <f>Grig1!B22</f>
        <v>80</v>
      </c>
      <c r="Q276" s="368">
        <f>Grig1!C22</f>
        <v>74</v>
      </c>
      <c r="R276" s="369" t="str">
        <f t="shared" si="3"/>
        <v>8,1</v>
      </c>
      <c r="S276" s="379">
        <f>Grig1!E22</f>
        <v>5282250</v>
      </c>
      <c r="T276" s="379">
        <f>Grig1!F22</f>
        <v>3651500</v>
      </c>
      <c r="U276" s="369" t="str">
        <f t="shared" si="4"/>
        <v>44,7</v>
      </c>
      <c r="V276" s="374">
        <f>Grig1!H22</f>
        <v>13</v>
      </c>
      <c r="W276" s="374">
        <f>Grig1!I22</f>
        <v>9</v>
      </c>
      <c r="X276" s="375" t="str">
        <f t="shared" si="5"/>
        <v>44,4</v>
      </c>
      <c r="Y276" s="368">
        <f>Grig1!K22</f>
        <v>9</v>
      </c>
      <c r="Z276" s="368">
        <f>Grig1!L22</f>
        <v>3</v>
      </c>
      <c r="AA276" s="369" t="str">
        <f t="shared" si="6"/>
        <v>200,0</v>
      </c>
      <c r="AB276" s="368">
        <f>Grig1!N22</f>
        <v>33</v>
      </c>
      <c r="AC276" s="368">
        <f>Grig1!O22</f>
        <v>17</v>
      </c>
      <c r="AD276" s="369" t="str">
        <f t="shared" si="7"/>
        <v>94,1</v>
      </c>
    </row>
    <row r="277" spans="15:30" ht="12.75">
      <c r="O277" s="367" t="s">
        <v>27</v>
      </c>
      <c r="P277" s="368">
        <f>Grig1!B23</f>
        <v>37</v>
      </c>
      <c r="Q277" s="368">
        <f>Grig1!C23</f>
        <v>4</v>
      </c>
      <c r="R277" s="369" t="str">
        <f t="shared" si="3"/>
        <v>825,0</v>
      </c>
      <c r="S277" s="379">
        <f>Grig1!E23</f>
        <v>2</v>
      </c>
      <c r="T277" s="379">
        <f>Grig1!F23</f>
        <v>0</v>
      </c>
      <c r="U277" s="369" t="str">
        <f t="shared" si="4"/>
        <v>--</v>
      </c>
      <c r="V277" s="374">
        <f>Grig1!H23</f>
        <v>2</v>
      </c>
      <c r="W277" s="374">
        <f>Grig1!I23</f>
        <v>0</v>
      </c>
      <c r="X277" s="375" t="str">
        <f t="shared" si="5"/>
        <v>--</v>
      </c>
      <c r="Y277" s="368">
        <f>Grig1!K23</f>
        <v>29</v>
      </c>
      <c r="Z277" s="368">
        <f>Grig1!L23</f>
        <v>1</v>
      </c>
      <c r="AA277" s="369" t="str">
        <f t="shared" si="6"/>
        <v>2800,0</v>
      </c>
      <c r="AB277" s="368">
        <f>Grig1!N23</f>
        <v>0</v>
      </c>
      <c r="AC277" s="368">
        <f>Grig1!O23</f>
        <v>0</v>
      </c>
      <c r="AD277" s="369" t="str">
        <f t="shared" si="7"/>
        <v>--</v>
      </c>
    </row>
    <row r="278" spans="15:30" ht="12.75">
      <c r="O278" s="367" t="s">
        <v>28</v>
      </c>
      <c r="P278" s="368">
        <f>Grig1!B24</f>
        <v>28</v>
      </c>
      <c r="Q278" s="368">
        <f>Grig1!C24</f>
        <v>29</v>
      </c>
      <c r="R278" s="369" t="str">
        <f t="shared" si="3"/>
        <v>-3,4</v>
      </c>
      <c r="S278" s="379">
        <f>Grig1!E24</f>
        <v>6549623</v>
      </c>
      <c r="T278" s="379">
        <f>Grig1!F24</f>
        <v>1344000</v>
      </c>
      <c r="U278" s="369" t="str">
        <f t="shared" si="4"/>
        <v>387,3</v>
      </c>
      <c r="V278" s="374">
        <f>Grig1!H24</f>
        <v>1</v>
      </c>
      <c r="W278" s="374">
        <f>Grig1!I24</f>
        <v>2</v>
      </c>
      <c r="X278" s="375" t="str">
        <f t="shared" si="5"/>
        <v>-50,0</v>
      </c>
      <c r="Y278" s="368">
        <f>Grig1!K24</f>
        <v>1</v>
      </c>
      <c r="Z278" s="368">
        <f>Grig1!L24</f>
        <v>0</v>
      </c>
      <c r="AA278" s="369" t="str">
        <f t="shared" si="6"/>
        <v>--</v>
      </c>
      <c r="AB278" s="368">
        <f>Grig1!N24</f>
        <v>15</v>
      </c>
      <c r="AC278" s="368">
        <f>Grig1!O24</f>
        <v>0</v>
      </c>
      <c r="AD278" s="369" t="str">
        <f t="shared" si="7"/>
        <v>--</v>
      </c>
    </row>
    <row r="279" spans="15:30" ht="12.75">
      <c r="O279" s="367" t="s">
        <v>29</v>
      </c>
      <c r="P279" s="368">
        <f>Grig1!B25</f>
        <v>24</v>
      </c>
      <c r="Q279" s="368">
        <f>Grig1!C25</f>
        <v>1</v>
      </c>
      <c r="R279" s="369" t="str">
        <f t="shared" si="3"/>
        <v>2300,0</v>
      </c>
      <c r="S279" s="379">
        <f>Grig1!E25</f>
        <v>0</v>
      </c>
      <c r="T279" s="379">
        <f>Grig1!F25</f>
        <v>0</v>
      </c>
      <c r="U279" s="369" t="str">
        <f t="shared" si="4"/>
        <v>--</v>
      </c>
      <c r="V279" s="374">
        <f>Grig1!H25</f>
        <v>1</v>
      </c>
      <c r="W279" s="374">
        <f>Grig1!I25</f>
        <v>0</v>
      </c>
      <c r="X279" s="375" t="str">
        <f t="shared" si="5"/>
        <v>--</v>
      </c>
      <c r="Y279" s="368">
        <f>Grig1!K25</f>
        <v>16</v>
      </c>
      <c r="Z279" s="368">
        <f>Grig1!L25</f>
        <v>0</v>
      </c>
      <c r="AA279" s="369" t="str">
        <f t="shared" si="6"/>
        <v>--</v>
      </c>
      <c r="AB279" s="368">
        <f>Grig1!N25</f>
        <v>0</v>
      </c>
      <c r="AC279" s="368">
        <f>Grig1!O25</f>
        <v>0</v>
      </c>
      <c r="AD279" s="369" t="str">
        <f t="shared" si="7"/>
        <v>--</v>
      </c>
    </row>
    <row r="280" spans="15:30" ht="12.75">
      <c r="O280" s="367" t="s">
        <v>30</v>
      </c>
      <c r="P280" s="368">
        <f>Grig1!B26</f>
        <v>20</v>
      </c>
      <c r="Q280" s="368">
        <f>Grig1!C26</f>
        <v>25</v>
      </c>
      <c r="R280" s="369" t="str">
        <f t="shared" si="3"/>
        <v>-20,0</v>
      </c>
      <c r="S280" s="379">
        <f>Grig1!E26</f>
        <v>1363500</v>
      </c>
      <c r="T280" s="379">
        <f>Grig1!F26</f>
        <v>705651</v>
      </c>
      <c r="U280" s="369" t="str">
        <f t="shared" si="4"/>
        <v>93,2</v>
      </c>
      <c r="V280" s="374">
        <f>Grig1!H26</f>
        <v>1</v>
      </c>
      <c r="W280" s="374">
        <f>Grig1!I26</f>
        <v>5</v>
      </c>
      <c r="X280" s="375" t="str">
        <f t="shared" si="5"/>
        <v>-80,0</v>
      </c>
      <c r="Y280" s="368">
        <f>Grig1!K26</f>
        <v>0</v>
      </c>
      <c r="Z280" s="368">
        <f>Grig1!L26</f>
        <v>0</v>
      </c>
      <c r="AA280" s="369" t="str">
        <f t="shared" si="6"/>
        <v>--</v>
      </c>
      <c r="AB280" s="368">
        <f>Grig1!N26</f>
        <v>1</v>
      </c>
      <c r="AC280" s="368">
        <f>Grig1!O26</f>
        <v>3</v>
      </c>
      <c r="AD280" s="369" t="str">
        <f t="shared" si="7"/>
        <v>-66,7</v>
      </c>
    </row>
    <row r="281" spans="15:30" ht="12.75">
      <c r="O281" s="367" t="s">
        <v>31</v>
      </c>
      <c r="P281" s="368">
        <f>Grig1!B27</f>
        <v>2</v>
      </c>
      <c r="Q281" s="368">
        <f>Grig1!C27</f>
        <v>1</v>
      </c>
      <c r="R281" s="369" t="str">
        <f t="shared" si="3"/>
        <v>100,0</v>
      </c>
      <c r="S281" s="379">
        <f>Grig1!E27</f>
        <v>7</v>
      </c>
      <c r="T281" s="379">
        <f>Grig1!F27</f>
        <v>0</v>
      </c>
      <c r="U281" s="369" t="str">
        <f t="shared" si="4"/>
        <v>--</v>
      </c>
      <c r="V281" s="374">
        <f>Grig1!H27</f>
        <v>13</v>
      </c>
      <c r="W281" s="374">
        <f>Grig1!I27</f>
        <v>0</v>
      </c>
      <c r="X281" s="375" t="str">
        <f t="shared" si="5"/>
        <v>--</v>
      </c>
      <c r="Y281" s="368">
        <f>Grig1!K27</f>
        <v>42</v>
      </c>
      <c r="Z281" s="368">
        <f>Grig1!L27</f>
        <v>0</v>
      </c>
      <c r="AA281" s="369" t="str">
        <f t="shared" si="6"/>
        <v>--</v>
      </c>
      <c r="AB281" s="368">
        <f>Grig1!N27</f>
        <v>0</v>
      </c>
      <c r="AC281" s="368">
        <f>Grig1!O27</f>
        <v>0</v>
      </c>
      <c r="AD281" s="369" t="str">
        <f t="shared" si="7"/>
        <v>--</v>
      </c>
    </row>
    <row r="282" spans="15:30" ht="12.75">
      <c r="O282" s="367" t="s">
        <v>32</v>
      </c>
      <c r="P282" s="368">
        <f>Grig1!B28</f>
        <v>15</v>
      </c>
      <c r="Q282" s="368">
        <f>Grig1!C28</f>
        <v>26</v>
      </c>
      <c r="R282" s="369" t="str">
        <f t="shared" si="3"/>
        <v>-42,3</v>
      </c>
      <c r="S282" s="379">
        <f>Grig1!E28</f>
        <v>638500</v>
      </c>
      <c r="T282" s="379">
        <f>Grig1!F28</f>
        <v>1488804</v>
      </c>
      <c r="U282" s="369" t="str">
        <f t="shared" si="4"/>
        <v>-57,1</v>
      </c>
      <c r="V282" s="374">
        <f>Grig1!H28</f>
        <v>1</v>
      </c>
      <c r="W282" s="374">
        <f>Grig1!I28</f>
        <v>3</v>
      </c>
      <c r="X282" s="375" t="str">
        <f t="shared" si="5"/>
        <v>-66,7</v>
      </c>
      <c r="Y282" s="368">
        <f>Grig1!K28</f>
        <v>1</v>
      </c>
      <c r="Z282" s="368">
        <f>Grig1!L28</f>
        <v>1</v>
      </c>
      <c r="AA282" s="369" t="str">
        <f t="shared" si="6"/>
        <v>0,0</v>
      </c>
      <c r="AB282" s="368">
        <f>Grig1!N28</f>
        <v>0</v>
      </c>
      <c r="AC282" s="368">
        <f>Grig1!O28</f>
        <v>4</v>
      </c>
      <c r="AD282" s="369" t="str">
        <f t="shared" si="7"/>
        <v>-100,0</v>
      </c>
    </row>
    <row r="283" spans="15:30" ht="12.75">
      <c r="O283" s="367" t="s">
        <v>33</v>
      </c>
      <c r="P283" s="368">
        <f>Grig1!B29</f>
        <v>44</v>
      </c>
      <c r="Q283" s="368">
        <f>Grig1!C29</f>
        <v>0</v>
      </c>
      <c r="R283" s="369" t="str">
        <f t="shared" si="3"/>
        <v>--</v>
      </c>
      <c r="S283" s="379">
        <f>Grig1!E29</f>
        <v>2</v>
      </c>
      <c r="T283" s="379">
        <f>Grig1!F29</f>
        <v>0</v>
      </c>
      <c r="U283" s="369" t="str">
        <f t="shared" si="4"/>
        <v>--</v>
      </c>
      <c r="V283" s="374">
        <f>Grig1!H29</f>
        <v>3</v>
      </c>
      <c r="W283" s="374">
        <f>Grig1!I29</f>
        <v>0</v>
      </c>
      <c r="X283" s="375" t="str">
        <f t="shared" si="5"/>
        <v>--</v>
      </c>
      <c r="Y283" s="368">
        <f>Grig1!K29</f>
        <v>25</v>
      </c>
      <c r="Z283" s="368">
        <f>Grig1!L29</f>
        <v>0</v>
      </c>
      <c r="AA283" s="369" t="str">
        <f t="shared" si="6"/>
        <v>--</v>
      </c>
      <c r="AB283" s="368">
        <f>Grig1!N29</f>
        <v>2</v>
      </c>
      <c r="AC283" s="368">
        <f>Grig1!O29</f>
        <v>0</v>
      </c>
      <c r="AD283" s="369" t="str">
        <f t="shared" si="7"/>
        <v>--</v>
      </c>
    </row>
    <row r="284" spans="15:30" ht="12.75">
      <c r="O284" s="367" t="s">
        <v>34</v>
      </c>
      <c r="P284" s="368">
        <f>Grig1!B30</f>
        <v>38</v>
      </c>
      <c r="Q284" s="368">
        <f>Grig1!C30</f>
        <v>30</v>
      </c>
      <c r="R284" s="369" t="str">
        <f t="shared" si="3"/>
        <v>26,7</v>
      </c>
      <c r="S284" s="379">
        <f>Grig1!E30</f>
        <v>2475000</v>
      </c>
      <c r="T284" s="379">
        <f>Grig1!F30</f>
        <v>1663500</v>
      </c>
      <c r="U284" s="369" t="str">
        <f t="shared" si="4"/>
        <v>48,8</v>
      </c>
      <c r="V284" s="374">
        <f>Grig1!H30</f>
        <v>1</v>
      </c>
      <c r="W284" s="374">
        <f>Grig1!I30</f>
        <v>7</v>
      </c>
      <c r="X284" s="375" t="str">
        <f t="shared" si="5"/>
        <v>-85,7</v>
      </c>
      <c r="Y284" s="368">
        <f>Grig1!K30</f>
        <v>0</v>
      </c>
      <c r="Z284" s="368">
        <f>Grig1!L30</f>
        <v>2</v>
      </c>
      <c r="AA284" s="369" t="str">
        <f t="shared" si="6"/>
        <v>-100,0</v>
      </c>
      <c r="AB284" s="368">
        <f>Grig1!N30</f>
        <v>3</v>
      </c>
      <c r="AC284" s="368">
        <f>Grig1!O30</f>
        <v>1</v>
      </c>
      <c r="AD284" s="369" t="str">
        <f t="shared" si="7"/>
        <v>200,0</v>
      </c>
    </row>
    <row r="285" spans="1:30" ht="18.75">
      <c r="A285" s="380" t="s">
        <v>245</v>
      </c>
      <c r="O285" s="367" t="s">
        <v>35</v>
      </c>
      <c r="P285" s="368">
        <f>Grig1!B31</f>
        <v>21</v>
      </c>
      <c r="Q285" s="368">
        <f>Grig1!C31</f>
        <v>3</v>
      </c>
      <c r="R285" s="369" t="str">
        <f t="shared" si="3"/>
        <v>600,0</v>
      </c>
      <c r="S285" s="379">
        <f>Grig1!E31</f>
        <v>1</v>
      </c>
      <c r="T285" s="379">
        <f>Grig1!F31</f>
        <v>0</v>
      </c>
      <c r="U285" s="369" t="str">
        <f t="shared" si="4"/>
        <v>--</v>
      </c>
      <c r="V285" s="374">
        <f>Grig1!H31</f>
        <v>1</v>
      </c>
      <c r="W285" s="374">
        <f>Grig1!I31</f>
        <v>0</v>
      </c>
      <c r="X285" s="375" t="str">
        <f t="shared" si="5"/>
        <v>--</v>
      </c>
      <c r="Y285" s="368">
        <f>Grig1!K31</f>
        <v>1</v>
      </c>
      <c r="Z285" s="368">
        <f>Grig1!L31</f>
        <v>0</v>
      </c>
      <c r="AA285" s="369" t="str">
        <f t="shared" si="6"/>
        <v>--</v>
      </c>
      <c r="AB285" s="368">
        <f>Grig1!N31</f>
        <v>0</v>
      </c>
      <c r="AC285" s="368">
        <f>Grig1!O31</f>
        <v>0</v>
      </c>
      <c r="AD285" s="369" t="str">
        <f t="shared" si="7"/>
        <v>--</v>
      </c>
    </row>
    <row r="286" spans="15:30" ht="12.75">
      <c r="O286" s="367" t="s">
        <v>36</v>
      </c>
      <c r="P286" s="368">
        <f>Grig1!B32</f>
        <v>36</v>
      </c>
      <c r="Q286" s="368">
        <f>Grig1!C32</f>
        <v>38</v>
      </c>
      <c r="R286" s="369" t="str">
        <f t="shared" si="3"/>
        <v>-5,3</v>
      </c>
      <c r="S286" s="379">
        <f>Grig1!E32</f>
        <v>3066000</v>
      </c>
      <c r="T286" s="379">
        <f>Grig1!F32</f>
        <v>2848400</v>
      </c>
      <c r="U286" s="369" t="str">
        <f t="shared" si="4"/>
        <v>7,6</v>
      </c>
      <c r="V286" s="374">
        <f>Grig1!H32</f>
        <v>5</v>
      </c>
      <c r="W286" s="374">
        <f>Grig1!I32</f>
        <v>4</v>
      </c>
      <c r="X286" s="375" t="str">
        <f t="shared" si="5"/>
        <v>25,0</v>
      </c>
      <c r="Y286" s="368">
        <f>Grig1!K32</f>
        <v>0</v>
      </c>
      <c r="Z286" s="368">
        <f>Grig1!L32</f>
        <v>3</v>
      </c>
      <c r="AA286" s="369" t="str">
        <f t="shared" si="6"/>
        <v>-100,0</v>
      </c>
      <c r="AB286" s="368">
        <f>Grig1!N32</f>
        <v>1</v>
      </c>
      <c r="AC286" s="368">
        <f>Grig1!O32</f>
        <v>1</v>
      </c>
      <c r="AD286" s="369" t="str">
        <f t="shared" si="7"/>
        <v>0,0</v>
      </c>
    </row>
    <row r="287" spans="15:30" ht="12.75">
      <c r="O287" s="367" t="s">
        <v>37</v>
      </c>
      <c r="P287" s="368">
        <f>Grig1!B33</f>
        <v>62</v>
      </c>
      <c r="Q287" s="368">
        <f>Grig1!C33</f>
        <v>0</v>
      </c>
      <c r="R287" s="369" t="str">
        <f t="shared" si="3"/>
        <v>--</v>
      </c>
      <c r="S287" s="379">
        <f>Grig1!E33</f>
        <v>10</v>
      </c>
      <c r="T287" s="379">
        <f>Grig1!F33</f>
        <v>0</v>
      </c>
      <c r="U287" s="369" t="str">
        <f t="shared" si="4"/>
        <v>--</v>
      </c>
      <c r="V287" s="374">
        <f>Grig1!H33</f>
        <v>13</v>
      </c>
      <c r="W287" s="374">
        <f>Grig1!I33</f>
        <v>0</v>
      </c>
      <c r="X287" s="375" t="str">
        <f t="shared" si="5"/>
        <v>--</v>
      </c>
      <c r="Y287" s="368">
        <f>Grig1!K33</f>
        <v>8</v>
      </c>
      <c r="Z287" s="368">
        <f>Grig1!L33</f>
        <v>0</v>
      </c>
      <c r="AA287" s="369" t="str">
        <f t="shared" si="6"/>
        <v>--</v>
      </c>
      <c r="AB287" s="368">
        <f>Grig1!N33</f>
        <v>0</v>
      </c>
      <c r="AC287" s="368">
        <f>Grig1!O33</f>
        <v>0</v>
      </c>
      <c r="AD287" s="369" t="str">
        <f t="shared" si="7"/>
        <v>--</v>
      </c>
    </row>
    <row r="288" spans="15:30" ht="12.75">
      <c r="O288" s="367" t="s">
        <v>38</v>
      </c>
      <c r="P288" s="368">
        <f>Grig1!B34</f>
        <v>37</v>
      </c>
      <c r="Q288" s="368">
        <f>Grig1!C34</f>
        <v>34</v>
      </c>
      <c r="R288" s="369" t="str">
        <f t="shared" si="3"/>
        <v>8,8</v>
      </c>
      <c r="S288" s="379">
        <f>Grig1!E34</f>
        <v>1937300</v>
      </c>
      <c r="T288" s="379">
        <f>Grig1!F34</f>
        <v>1674620</v>
      </c>
      <c r="U288" s="369" t="str">
        <f t="shared" si="4"/>
        <v>15,7</v>
      </c>
      <c r="V288" s="374">
        <f>Grig1!H34</f>
        <v>7</v>
      </c>
      <c r="W288" s="374">
        <f>Grig1!I34</f>
        <v>5</v>
      </c>
      <c r="X288" s="375" t="str">
        <f t="shared" si="5"/>
        <v>40,0</v>
      </c>
      <c r="Y288" s="368">
        <f>Grig1!K34</f>
        <v>2</v>
      </c>
      <c r="Z288" s="368">
        <f>Grig1!L34</f>
        <v>2</v>
      </c>
      <c r="AA288" s="369" t="str">
        <f t="shared" si="6"/>
        <v>0,0</v>
      </c>
      <c r="AB288" s="368">
        <f>Grig1!N34</f>
        <v>2</v>
      </c>
      <c r="AC288" s="368">
        <f>Grig1!O34</f>
        <v>10</v>
      </c>
      <c r="AD288" s="369" t="str">
        <f t="shared" si="7"/>
        <v>-80,0</v>
      </c>
    </row>
    <row r="289" spans="15:30" ht="12.75">
      <c r="O289" s="367" t="s">
        <v>39</v>
      </c>
      <c r="P289" s="368">
        <f>Grig1!B35</f>
        <v>1</v>
      </c>
      <c r="Q289" s="368">
        <f>Grig1!C35</f>
        <v>3</v>
      </c>
      <c r="R289" s="369" t="str">
        <f t="shared" si="3"/>
        <v>-66,7</v>
      </c>
      <c r="S289" s="379">
        <f>Grig1!E35</f>
        <v>23</v>
      </c>
      <c r="T289" s="379">
        <f>Grig1!F35</f>
        <v>0</v>
      </c>
      <c r="U289" s="369" t="str">
        <f t="shared" si="4"/>
        <v>--</v>
      </c>
      <c r="V289" s="374">
        <f>Grig1!H35</f>
        <v>16</v>
      </c>
      <c r="W289" s="374">
        <f>Grig1!I35</f>
        <v>1</v>
      </c>
      <c r="X289" s="375" t="str">
        <f t="shared" si="5"/>
        <v>1500,0</v>
      </c>
      <c r="Y289" s="368">
        <f>Grig1!K35</f>
        <v>14</v>
      </c>
      <c r="Z289" s="368">
        <f>Grig1!L35</f>
        <v>0</v>
      </c>
      <c r="AA289" s="369" t="str">
        <f t="shared" si="6"/>
        <v>--</v>
      </c>
      <c r="AB289" s="368">
        <f>Grig1!N35</f>
        <v>0</v>
      </c>
      <c r="AC289" s="368">
        <f>Grig1!O35</f>
        <v>0</v>
      </c>
      <c r="AD289" s="369" t="str">
        <f t="shared" si="7"/>
        <v>--</v>
      </c>
    </row>
    <row r="290" spans="15:30" ht="12.75">
      <c r="O290" s="367" t="s">
        <v>40</v>
      </c>
      <c r="P290" s="368">
        <f>Grig1!B36</f>
        <v>0</v>
      </c>
      <c r="Q290" s="368">
        <f>Grig1!C36</f>
        <v>0</v>
      </c>
      <c r="R290" s="369" t="str">
        <f t="shared" si="3"/>
        <v>--</v>
      </c>
      <c r="S290" s="379">
        <f>Grig1!E36</f>
        <v>8</v>
      </c>
      <c r="T290" s="379">
        <f>Grig1!F36</f>
        <v>96</v>
      </c>
      <c r="U290" s="369" t="str">
        <f t="shared" si="4"/>
        <v>-91,7</v>
      </c>
      <c r="V290" s="374">
        <f>Grig1!H36</f>
        <v>10</v>
      </c>
      <c r="W290" s="374">
        <f>Grig1!I36</f>
        <v>139</v>
      </c>
      <c r="X290" s="375" t="str">
        <f t="shared" si="5"/>
        <v>-92,8</v>
      </c>
      <c r="Y290" s="368">
        <f>Grig1!K36</f>
        <v>3</v>
      </c>
      <c r="Z290" s="368">
        <f>Grig1!L36</f>
        <v>533</v>
      </c>
      <c r="AA290" s="369" t="str">
        <f t="shared" si="6"/>
        <v>-99,4</v>
      </c>
      <c r="AB290" s="368">
        <f>Grig1!N36</f>
        <v>0</v>
      </c>
      <c r="AC290" s="368">
        <f>Grig1!O36</f>
        <v>39</v>
      </c>
      <c r="AD290" s="369" t="str">
        <f t="shared" si="7"/>
        <v>-100,0</v>
      </c>
    </row>
    <row r="291" spans="15:30" ht="12.75">
      <c r="O291" s="370" t="s">
        <v>41</v>
      </c>
      <c r="P291" s="368">
        <f>Grig1!B37</f>
        <v>41</v>
      </c>
      <c r="Q291" s="368">
        <f>Grig1!C37</f>
        <v>49</v>
      </c>
      <c r="R291" s="371" t="str">
        <f t="shared" si="3"/>
        <v>-16,3</v>
      </c>
      <c r="S291" s="379">
        <f>Grig1!E37</f>
        <v>1006600</v>
      </c>
      <c r="T291" s="379">
        <f>Grig1!F37</f>
        <v>1958963</v>
      </c>
      <c r="U291" s="371" t="str">
        <f t="shared" si="4"/>
        <v>-48,6</v>
      </c>
      <c r="V291" s="374">
        <f>Grig1!H37</f>
        <v>0</v>
      </c>
      <c r="W291" s="374">
        <f>Grig1!I37</f>
        <v>2</v>
      </c>
      <c r="X291" s="371" t="str">
        <f t="shared" si="5"/>
        <v>-100,0</v>
      </c>
      <c r="Y291" s="368">
        <f>Grig1!K37</f>
        <v>8</v>
      </c>
      <c r="Z291" s="368">
        <f>Grig1!L37</f>
        <v>9</v>
      </c>
      <c r="AA291" s="371" t="str">
        <f t="shared" si="6"/>
        <v>-11,1</v>
      </c>
      <c r="AB291" s="368">
        <f>Grig1!N37</f>
        <v>39</v>
      </c>
      <c r="AC291" s="368">
        <f>Grig1!O37</f>
        <v>111</v>
      </c>
      <c r="AD291" s="371" t="str">
        <f t="shared" si="7"/>
        <v>-64,9</v>
      </c>
    </row>
    <row r="292" spans="15:30" ht="12.75">
      <c r="O292" s="367" t="s">
        <v>42</v>
      </c>
      <c r="P292" s="368">
        <f>Grig1!B38</f>
        <v>21</v>
      </c>
      <c r="Q292" s="368">
        <f>Grig1!C38</f>
        <v>19</v>
      </c>
      <c r="R292" s="369" t="str">
        <f aca="true" t="shared" si="8" ref="R292:R311">IF(Q292&lt;&gt;0,TEXT(((P292-Q292)/Q292)*100,"0,0"),"--")</f>
        <v>10,5</v>
      </c>
      <c r="S292" s="379">
        <f>Grig1!E38</f>
        <v>2113500</v>
      </c>
      <c r="T292" s="379">
        <f>Grig1!F38</f>
        <v>897200</v>
      </c>
      <c r="U292" s="369" t="str">
        <f aca="true" t="shared" si="9" ref="U292:U311">IF(T292&lt;&gt;0,TEXT(((S292-T292)/T292)*100,"0,0"),"--")</f>
        <v>135,6</v>
      </c>
      <c r="V292" s="374">
        <f>Grig1!H38</f>
        <v>4</v>
      </c>
      <c r="W292" s="374">
        <f>Grig1!I38</f>
        <v>3</v>
      </c>
      <c r="X292" s="375" t="str">
        <f aca="true" t="shared" si="10" ref="X292:X311">IF(W292&lt;&gt;0,TEXT(((V292-W292)/W292)*100,"0,0"),"--")</f>
        <v>33,3</v>
      </c>
      <c r="Y292" s="368">
        <f>Grig1!K38</f>
        <v>0</v>
      </c>
      <c r="Z292" s="368">
        <f>Grig1!L38</f>
        <v>2</v>
      </c>
      <c r="AA292" s="369" t="str">
        <f aca="true" t="shared" si="11" ref="AA292:AA311">IF(Z292&lt;&gt;0,TEXT(((Y292-Z292)/Z292)*100,"0,0"),"--")</f>
        <v>-100,0</v>
      </c>
      <c r="AB292" s="368">
        <f>Grig1!N38</f>
        <v>0</v>
      </c>
      <c r="AC292" s="368">
        <f>Grig1!O38</f>
        <v>3</v>
      </c>
      <c r="AD292" s="369" t="str">
        <f aca="true" t="shared" si="12" ref="AD292:AD312">IF(AC292&lt;&gt;0,TEXT(((AB292-AC292)/AC292)*100,"0,0"),"--")</f>
        <v>-100,0</v>
      </c>
    </row>
    <row r="293" spans="15:30" ht="12.75">
      <c r="O293" s="367" t="s">
        <v>43</v>
      </c>
      <c r="P293" s="368">
        <f>Grig1!B39</f>
        <v>30</v>
      </c>
      <c r="Q293" s="368">
        <f>Grig1!C39</f>
        <v>2</v>
      </c>
      <c r="R293" s="369" t="str">
        <f t="shared" si="8"/>
        <v>1400,0</v>
      </c>
      <c r="S293" s="379">
        <f>Grig1!E39</f>
        <v>4</v>
      </c>
      <c r="T293" s="379">
        <f>Grig1!F39</f>
        <v>1</v>
      </c>
      <c r="U293" s="369" t="str">
        <f t="shared" si="9"/>
        <v>300,0</v>
      </c>
      <c r="V293" s="374">
        <f>Grig1!H39</f>
        <v>1</v>
      </c>
      <c r="W293" s="374">
        <f>Grig1!I39</f>
        <v>0</v>
      </c>
      <c r="X293" s="375" t="str">
        <f t="shared" si="10"/>
        <v>--</v>
      </c>
      <c r="Y293" s="368">
        <f>Grig1!K39</f>
        <v>4</v>
      </c>
      <c r="Z293" s="368">
        <f>Grig1!L39</f>
        <v>0</v>
      </c>
      <c r="AA293" s="369" t="str">
        <f t="shared" si="11"/>
        <v>--</v>
      </c>
      <c r="AB293" s="368">
        <f>Grig1!N39</f>
        <v>0</v>
      </c>
      <c r="AC293" s="368">
        <f>Grig1!O39</f>
        <v>0</v>
      </c>
      <c r="AD293" s="369" t="str">
        <f t="shared" si="12"/>
        <v>--</v>
      </c>
    </row>
    <row r="294" spans="15:30" ht="12.75">
      <c r="O294" s="367" t="s">
        <v>44</v>
      </c>
      <c r="P294" s="368">
        <f>Grig1!B40</f>
        <v>24</v>
      </c>
      <c r="Q294" s="368">
        <f>Grig1!C40</f>
        <v>33</v>
      </c>
      <c r="R294" s="369" t="str">
        <f t="shared" si="8"/>
        <v>-27,3</v>
      </c>
      <c r="S294" s="379">
        <f>Grig1!E40</f>
        <v>1185000</v>
      </c>
      <c r="T294" s="379">
        <f>Grig1!F40</f>
        <v>3056400</v>
      </c>
      <c r="U294" s="369" t="str">
        <f t="shared" si="9"/>
        <v>-61,2</v>
      </c>
      <c r="V294" s="374">
        <f>Grig1!H40</f>
        <v>7</v>
      </c>
      <c r="W294" s="374">
        <f>Grig1!I40</f>
        <v>2</v>
      </c>
      <c r="X294" s="375" t="str">
        <f t="shared" si="10"/>
        <v>250,0</v>
      </c>
      <c r="Y294" s="368">
        <f>Grig1!K40</f>
        <v>0</v>
      </c>
      <c r="Z294" s="368">
        <f>Grig1!L40</f>
        <v>1</v>
      </c>
      <c r="AA294" s="369" t="str">
        <f t="shared" si="11"/>
        <v>-100,0</v>
      </c>
      <c r="AB294" s="368">
        <f>Grig1!N40</f>
        <v>1</v>
      </c>
      <c r="AC294" s="368">
        <f>Grig1!O40</f>
        <v>1</v>
      </c>
      <c r="AD294" s="369" t="str">
        <f t="shared" si="12"/>
        <v>0,0</v>
      </c>
    </row>
    <row r="295" spans="15:30" ht="12.75">
      <c r="O295" s="367" t="s">
        <v>45</v>
      </c>
      <c r="P295" s="368">
        <f>Grig1!B41</f>
        <v>13</v>
      </c>
      <c r="Q295" s="368">
        <f>Grig1!C41</f>
        <v>0</v>
      </c>
      <c r="R295" s="369" t="str">
        <f t="shared" si="8"/>
        <v>--</v>
      </c>
      <c r="S295" s="379">
        <f>Grig1!E41</f>
        <v>0</v>
      </c>
      <c r="T295" s="379">
        <f>Grig1!F41</f>
        <v>0</v>
      </c>
      <c r="U295" s="369" t="str">
        <f t="shared" si="9"/>
        <v>--</v>
      </c>
      <c r="V295" s="374">
        <f>Grig1!H41</f>
        <v>2</v>
      </c>
      <c r="W295" s="374">
        <f>Grig1!I41</f>
        <v>0</v>
      </c>
      <c r="X295" s="375" t="str">
        <f t="shared" si="10"/>
        <v>--</v>
      </c>
      <c r="Y295" s="368">
        <f>Grig1!K41</f>
        <v>2</v>
      </c>
      <c r="Z295" s="368">
        <f>Grig1!L41</f>
        <v>0</v>
      </c>
      <c r="AA295" s="369" t="str">
        <f t="shared" si="11"/>
        <v>--</v>
      </c>
      <c r="AB295" s="368">
        <f>Grig1!N41</f>
        <v>0</v>
      </c>
      <c r="AC295" s="368">
        <f>Grig1!O41</f>
        <v>0</v>
      </c>
      <c r="AD295" s="369" t="str">
        <f t="shared" si="12"/>
        <v>--</v>
      </c>
    </row>
    <row r="296" spans="15:30" ht="12.75">
      <c r="O296" s="367" t="s">
        <v>46</v>
      </c>
      <c r="P296" s="368">
        <f>Grig1!B42</f>
        <v>52</v>
      </c>
      <c r="Q296" s="368">
        <f>Grig1!C42</f>
        <v>38</v>
      </c>
      <c r="R296" s="369" t="str">
        <f t="shared" si="8"/>
        <v>36,8</v>
      </c>
      <c r="S296" s="379">
        <f>Grig1!E42</f>
        <v>3368000</v>
      </c>
      <c r="T296" s="379">
        <f>Grig1!F42</f>
        <v>1751500</v>
      </c>
      <c r="U296" s="369" t="str">
        <f t="shared" si="9"/>
        <v>92,3</v>
      </c>
      <c r="V296" s="374">
        <f>Grig1!H42</f>
        <v>6</v>
      </c>
      <c r="W296" s="374">
        <f>Grig1!I42</f>
        <v>4</v>
      </c>
      <c r="X296" s="375" t="str">
        <f t="shared" si="10"/>
        <v>50,0</v>
      </c>
      <c r="Y296" s="368">
        <f>Grig1!K42</f>
        <v>7</v>
      </c>
      <c r="Z296" s="368">
        <f>Grig1!L42</f>
        <v>2</v>
      </c>
      <c r="AA296" s="369" t="str">
        <f t="shared" si="11"/>
        <v>250,0</v>
      </c>
      <c r="AB296" s="368">
        <f>Grig1!N42</f>
        <v>34</v>
      </c>
      <c r="AC296" s="368">
        <f>Grig1!O42</f>
        <v>12</v>
      </c>
      <c r="AD296" s="369" t="str">
        <f t="shared" si="12"/>
        <v>183,3</v>
      </c>
    </row>
    <row r="297" spans="15:30" ht="12.75">
      <c r="O297" s="367" t="s">
        <v>47</v>
      </c>
      <c r="P297" s="368">
        <f>Grig1!B43</f>
        <v>13</v>
      </c>
      <c r="Q297" s="368">
        <f>Grig1!C43</f>
        <v>2</v>
      </c>
      <c r="R297" s="369" t="str">
        <f t="shared" si="8"/>
        <v>550,0</v>
      </c>
      <c r="S297" s="379">
        <f>Grig1!E43</f>
        <v>3</v>
      </c>
      <c r="T297" s="379">
        <f>Grig1!F43</f>
        <v>2</v>
      </c>
      <c r="U297" s="369" t="str">
        <f t="shared" si="9"/>
        <v>50,0</v>
      </c>
      <c r="V297" s="374">
        <f>Grig1!H43</f>
        <v>0</v>
      </c>
      <c r="W297" s="374">
        <f>Grig1!I43</f>
        <v>0</v>
      </c>
      <c r="X297" s="375" t="str">
        <f t="shared" si="10"/>
        <v>--</v>
      </c>
      <c r="Y297" s="368">
        <f>Grig1!K43</f>
        <v>1</v>
      </c>
      <c r="Z297" s="368">
        <f>Grig1!L43</f>
        <v>2</v>
      </c>
      <c r="AA297" s="369" t="str">
        <f t="shared" si="11"/>
        <v>-50,0</v>
      </c>
      <c r="AB297" s="368">
        <f>Grig1!N43</f>
        <v>0</v>
      </c>
      <c r="AC297" s="368">
        <f>Grig1!O43</f>
        <v>0</v>
      </c>
      <c r="AD297" s="369" t="str">
        <f t="shared" si="12"/>
        <v>--</v>
      </c>
    </row>
    <row r="298" spans="15:30" ht="12.75">
      <c r="O298" s="367" t="s">
        <v>48</v>
      </c>
      <c r="P298" s="368">
        <f>Grig1!B44</f>
        <v>85</v>
      </c>
      <c r="Q298" s="368">
        <f>Grig1!C44</f>
        <v>87</v>
      </c>
      <c r="R298" s="369" t="str">
        <f t="shared" si="8"/>
        <v>-2,3</v>
      </c>
      <c r="S298" s="379">
        <f>Grig1!E44</f>
        <v>4954238</v>
      </c>
      <c r="T298" s="379">
        <f>Grig1!F44</f>
        <v>4818131</v>
      </c>
      <c r="U298" s="369" t="str">
        <f t="shared" si="9"/>
        <v>2,8</v>
      </c>
      <c r="V298" s="374">
        <f>Grig1!H44</f>
        <v>5</v>
      </c>
      <c r="W298" s="374">
        <f>Grig1!I44</f>
        <v>8</v>
      </c>
      <c r="X298" s="375" t="str">
        <f t="shared" si="10"/>
        <v>-37,5</v>
      </c>
      <c r="Y298" s="368">
        <f>Grig1!K44</f>
        <v>7</v>
      </c>
      <c r="Z298" s="368">
        <f>Grig1!L44</f>
        <v>8</v>
      </c>
      <c r="AA298" s="369" t="str">
        <f t="shared" si="11"/>
        <v>-12,5</v>
      </c>
      <c r="AB298" s="368">
        <f>Grig1!N44</f>
        <v>9</v>
      </c>
      <c r="AC298" s="368">
        <f>Grig1!O44</f>
        <v>6</v>
      </c>
      <c r="AD298" s="369" t="str">
        <f t="shared" si="12"/>
        <v>50,0</v>
      </c>
    </row>
    <row r="299" spans="15:30" ht="12.75">
      <c r="O299" s="367" t="s">
        <v>49</v>
      </c>
      <c r="P299" s="368">
        <f>Grig1!B45</f>
        <v>0</v>
      </c>
      <c r="Q299" s="368">
        <f>Grig1!C45</f>
        <v>19</v>
      </c>
      <c r="R299" s="369" t="str">
        <f t="shared" si="8"/>
        <v>-100,0</v>
      </c>
      <c r="S299" s="379">
        <f>Grig1!E45</f>
        <v>0</v>
      </c>
      <c r="T299" s="379">
        <f>Grig1!F45</f>
        <v>2</v>
      </c>
      <c r="U299" s="369" t="str">
        <f t="shared" si="9"/>
        <v>-100,0</v>
      </c>
      <c r="V299" s="374">
        <f>Grig1!H45</f>
        <v>0</v>
      </c>
      <c r="W299" s="374">
        <f>Grig1!I45</f>
        <v>1</v>
      </c>
      <c r="X299" s="375" t="str">
        <f t="shared" si="10"/>
        <v>-100,0</v>
      </c>
      <c r="Y299" s="368">
        <f>Grig1!K45</f>
        <v>0</v>
      </c>
      <c r="Z299" s="368">
        <f>Grig1!L45</f>
        <v>1</v>
      </c>
      <c r="AA299" s="369" t="str">
        <f t="shared" si="11"/>
        <v>-100,0</v>
      </c>
      <c r="AB299" s="368">
        <f>Grig1!N45</f>
        <v>0</v>
      </c>
      <c r="AC299" s="368">
        <f>Grig1!O45</f>
        <v>11</v>
      </c>
      <c r="AD299" s="369" t="str">
        <f t="shared" si="12"/>
        <v>-100,0</v>
      </c>
    </row>
    <row r="300" spans="15:30" ht="12.75">
      <c r="O300" s="367" t="s">
        <v>50</v>
      </c>
      <c r="P300" s="368">
        <f>Grig1!B46</f>
        <v>14</v>
      </c>
      <c r="Q300" s="368">
        <f>Grig1!C46</f>
        <v>10</v>
      </c>
      <c r="R300" s="369" t="str">
        <f t="shared" si="8"/>
        <v>40,0</v>
      </c>
      <c r="S300" s="379">
        <f>Grig1!E46</f>
        <v>1029610</v>
      </c>
      <c r="T300" s="379">
        <f>Grig1!F46</f>
        <v>791000</v>
      </c>
      <c r="U300" s="369" t="str">
        <f t="shared" si="9"/>
        <v>30,2</v>
      </c>
      <c r="V300" s="374">
        <f>Grig1!H46</f>
        <v>0</v>
      </c>
      <c r="W300" s="374">
        <f>Grig1!I46</f>
        <v>1</v>
      </c>
      <c r="X300" s="375" t="str">
        <f t="shared" si="10"/>
        <v>-100,0</v>
      </c>
      <c r="Y300" s="368">
        <f>Grig1!K46</f>
        <v>0</v>
      </c>
      <c r="Z300" s="368">
        <f>Grig1!L46</f>
        <v>0</v>
      </c>
      <c r="AA300" s="369" t="str">
        <f t="shared" si="11"/>
        <v>--</v>
      </c>
      <c r="AB300" s="368">
        <f>Grig1!N46</f>
        <v>0</v>
      </c>
      <c r="AC300" s="368">
        <f>Grig1!O46</f>
        <v>0</v>
      </c>
      <c r="AD300" s="369" t="str">
        <f t="shared" si="12"/>
        <v>--</v>
      </c>
    </row>
    <row r="301" spans="15:30" ht="12.75">
      <c r="O301" s="367" t="s">
        <v>51</v>
      </c>
      <c r="P301" s="368">
        <f>Grig1!B47</f>
        <v>2</v>
      </c>
      <c r="Q301" s="368">
        <f>Grig1!C47</f>
        <v>4</v>
      </c>
      <c r="R301" s="369" t="str">
        <f t="shared" si="8"/>
        <v>-50,0</v>
      </c>
      <c r="S301" s="379">
        <f>Grig1!E47</f>
        <v>0</v>
      </c>
      <c r="T301" s="379">
        <f>Grig1!F47</f>
        <v>4</v>
      </c>
      <c r="U301" s="369" t="str">
        <f t="shared" si="9"/>
        <v>-100,0</v>
      </c>
      <c r="V301" s="374">
        <f>Grig1!H47</f>
        <v>0</v>
      </c>
      <c r="W301" s="374">
        <f>Grig1!I47</f>
        <v>0</v>
      </c>
      <c r="X301" s="375" t="str">
        <f t="shared" si="10"/>
        <v>--</v>
      </c>
      <c r="Y301" s="368">
        <f>Grig1!K47</f>
        <v>0</v>
      </c>
      <c r="Z301" s="368">
        <f>Grig1!L47</f>
        <v>2</v>
      </c>
      <c r="AA301" s="369" t="str">
        <f t="shared" si="11"/>
        <v>-100,0</v>
      </c>
      <c r="AB301" s="368">
        <f>Grig1!N47</f>
        <v>0</v>
      </c>
      <c r="AC301" s="368">
        <f>Grig1!O47</f>
        <v>0</v>
      </c>
      <c r="AD301" s="369" t="str">
        <f t="shared" si="12"/>
        <v>--</v>
      </c>
    </row>
    <row r="302" spans="15:30" ht="12.75">
      <c r="O302" s="367" t="s">
        <v>52</v>
      </c>
      <c r="P302" s="368">
        <f>Grig1!B48</f>
        <v>44</v>
      </c>
      <c r="Q302" s="368">
        <f>Grig1!C48</f>
        <v>57</v>
      </c>
      <c r="R302" s="369" t="str">
        <f t="shared" si="8"/>
        <v>-22,8</v>
      </c>
      <c r="S302" s="379">
        <f>Grig1!E48</f>
        <v>3230400</v>
      </c>
      <c r="T302" s="379">
        <f>Grig1!F48</f>
        <v>2810131</v>
      </c>
      <c r="U302" s="369" t="str">
        <f t="shared" si="9"/>
        <v>15,0</v>
      </c>
      <c r="V302" s="374">
        <f>Grig1!H48</f>
        <v>3</v>
      </c>
      <c r="W302" s="374">
        <f>Grig1!I48</f>
        <v>8</v>
      </c>
      <c r="X302" s="375" t="str">
        <f t="shared" si="10"/>
        <v>-62,5</v>
      </c>
      <c r="Y302" s="368">
        <f>Grig1!K48</f>
        <v>2</v>
      </c>
      <c r="Z302" s="368">
        <f>Grig1!L48</f>
        <v>4</v>
      </c>
      <c r="AA302" s="369" t="str">
        <f t="shared" si="11"/>
        <v>-50,0</v>
      </c>
      <c r="AB302" s="368">
        <f>Grig1!N48</f>
        <v>11</v>
      </c>
      <c r="AC302" s="368">
        <f>Grig1!O48</f>
        <v>22</v>
      </c>
      <c r="AD302" s="369" t="str">
        <f t="shared" si="12"/>
        <v>-50,0</v>
      </c>
    </row>
    <row r="303" spans="15:30" ht="12.75">
      <c r="O303" s="367" t="s">
        <v>53</v>
      </c>
      <c r="P303" s="368">
        <f>Grig1!B49</f>
        <v>17</v>
      </c>
      <c r="Q303" s="368">
        <f>Grig1!C49</f>
        <v>2</v>
      </c>
      <c r="R303" s="369" t="str">
        <f t="shared" si="8"/>
        <v>750,0</v>
      </c>
      <c r="S303" s="379">
        <f>Grig1!E49</f>
        <v>0</v>
      </c>
      <c r="T303" s="379">
        <f>Grig1!F49</f>
        <v>0</v>
      </c>
      <c r="U303" s="369" t="str">
        <f t="shared" si="9"/>
        <v>--</v>
      </c>
      <c r="V303" s="374">
        <f>Grig1!H49</f>
        <v>0</v>
      </c>
      <c r="W303" s="374">
        <f>Grig1!I49</f>
        <v>0</v>
      </c>
      <c r="X303" s="375" t="str">
        <f t="shared" si="10"/>
        <v>--</v>
      </c>
      <c r="Y303" s="368">
        <f>Grig1!K49</f>
        <v>8</v>
      </c>
      <c r="Z303" s="368">
        <f>Grig1!L49</f>
        <v>0</v>
      </c>
      <c r="AA303" s="369" t="str">
        <f t="shared" si="11"/>
        <v>--</v>
      </c>
      <c r="AB303" s="368">
        <f>Grig1!N49</f>
        <v>0</v>
      </c>
      <c r="AC303" s="368">
        <f>Grig1!O49</f>
        <v>0</v>
      </c>
      <c r="AD303" s="369" t="str">
        <f t="shared" si="12"/>
        <v>--</v>
      </c>
    </row>
    <row r="304" spans="15:30" ht="12.75">
      <c r="O304" s="367" t="s">
        <v>54</v>
      </c>
      <c r="P304" s="368">
        <f>Grig1!B50</f>
        <v>39</v>
      </c>
      <c r="Q304" s="368">
        <f>Grig1!C50</f>
        <v>46</v>
      </c>
      <c r="R304" s="369" t="str">
        <f t="shared" si="8"/>
        <v>-15,2</v>
      </c>
      <c r="S304" s="379">
        <f>Grig1!E50</f>
        <v>1902500</v>
      </c>
      <c r="T304" s="379">
        <f>Grig1!F50</f>
        <v>2589700</v>
      </c>
      <c r="U304" s="369" t="str">
        <f t="shared" si="9"/>
        <v>-26,5</v>
      </c>
      <c r="V304" s="374">
        <f>Grig1!H50</f>
        <v>2</v>
      </c>
      <c r="W304" s="374">
        <f>Grig1!I50</f>
        <v>5</v>
      </c>
      <c r="X304" s="375" t="str">
        <f t="shared" si="10"/>
        <v>-60,0</v>
      </c>
      <c r="Y304" s="368">
        <f>Grig1!K50</f>
        <v>9</v>
      </c>
      <c r="Z304" s="368">
        <f>Grig1!L50</f>
        <v>1</v>
      </c>
      <c r="AA304" s="369" t="str">
        <f t="shared" si="11"/>
        <v>800,0</v>
      </c>
      <c r="AB304" s="368">
        <f>Grig1!N50</f>
        <v>1</v>
      </c>
      <c r="AC304" s="368">
        <f>Grig1!O50</f>
        <v>3</v>
      </c>
      <c r="AD304" s="369" t="str">
        <f t="shared" si="12"/>
        <v>-66,7</v>
      </c>
    </row>
    <row r="305" spans="15:30" ht="12.75">
      <c r="O305" s="367" t="s">
        <v>55</v>
      </c>
      <c r="P305" s="368">
        <f>Grig1!B51</f>
        <v>2</v>
      </c>
      <c r="Q305" s="368">
        <f>Grig1!C51</f>
        <v>0</v>
      </c>
      <c r="R305" s="369" t="str">
        <f t="shared" si="8"/>
        <v>--</v>
      </c>
      <c r="S305" s="379">
        <f>Grig1!E51</f>
        <v>0</v>
      </c>
      <c r="T305" s="379">
        <f>Grig1!F51</f>
        <v>0</v>
      </c>
      <c r="U305" s="369" t="str">
        <f t="shared" si="9"/>
        <v>--</v>
      </c>
      <c r="V305" s="374">
        <f>Grig1!H51</f>
        <v>0</v>
      </c>
      <c r="W305" s="374">
        <f>Grig1!I51</f>
        <v>0</v>
      </c>
      <c r="X305" s="375" t="str">
        <f t="shared" si="10"/>
        <v>--</v>
      </c>
      <c r="Y305" s="368">
        <f>Grig1!K51</f>
        <v>0</v>
      </c>
      <c r="Z305" s="368">
        <f>Grig1!L51</f>
        <v>0</v>
      </c>
      <c r="AA305" s="369" t="str">
        <f t="shared" si="11"/>
        <v>--</v>
      </c>
      <c r="AB305" s="368">
        <f>Grig1!N51</f>
        <v>0</v>
      </c>
      <c r="AC305" s="368">
        <f>Grig1!O51</f>
        <v>0</v>
      </c>
      <c r="AD305" s="369" t="str">
        <f t="shared" si="12"/>
        <v>--</v>
      </c>
    </row>
    <row r="306" spans="15:30" ht="12.75">
      <c r="O306" s="367" t="s">
        <v>56</v>
      </c>
      <c r="P306" s="368">
        <f>Grig1!B52</f>
        <v>21</v>
      </c>
      <c r="Q306" s="368">
        <f>Grig1!C52</f>
        <v>18</v>
      </c>
      <c r="R306" s="369" t="str">
        <f t="shared" si="8"/>
        <v>16,7</v>
      </c>
      <c r="S306" s="379">
        <f>Grig1!E52</f>
        <v>802370</v>
      </c>
      <c r="T306" s="379">
        <f>Grig1!F52</f>
        <v>697000</v>
      </c>
      <c r="U306" s="369" t="str">
        <f t="shared" si="9"/>
        <v>15,1</v>
      </c>
      <c r="V306" s="374">
        <f>Grig1!H52</f>
        <v>0</v>
      </c>
      <c r="W306" s="374">
        <f>Grig1!I52</f>
        <v>1</v>
      </c>
      <c r="X306" s="375" t="str">
        <f t="shared" si="10"/>
        <v>-100,0</v>
      </c>
      <c r="Y306" s="368">
        <f>Grig1!K52</f>
        <v>1</v>
      </c>
      <c r="Z306" s="368">
        <f>Grig1!L52</f>
        <v>2</v>
      </c>
      <c r="AA306" s="369" t="str">
        <f t="shared" si="11"/>
        <v>-50,0</v>
      </c>
      <c r="AB306" s="368">
        <f>Grig1!N52</f>
        <v>1</v>
      </c>
      <c r="AC306" s="368">
        <f>Grig1!O52</f>
        <v>3</v>
      </c>
      <c r="AD306" s="369" t="str">
        <f t="shared" si="12"/>
        <v>-66,7</v>
      </c>
    </row>
    <row r="307" spans="1:30" ht="12.75">
      <c r="A307" s="324" t="s">
        <v>197</v>
      </c>
      <c r="O307" s="367" t="s">
        <v>57</v>
      </c>
      <c r="P307" s="368">
        <f>Grig1!B53</f>
        <v>1</v>
      </c>
      <c r="Q307" s="368">
        <f>Grig1!C53</f>
        <v>8</v>
      </c>
      <c r="R307" s="369" t="str">
        <f t="shared" si="8"/>
        <v>-87,5</v>
      </c>
      <c r="S307" s="379">
        <f>Grig1!E53</f>
        <v>0</v>
      </c>
      <c r="T307" s="379">
        <f>Grig1!F53</f>
        <v>2</v>
      </c>
      <c r="U307" s="369" t="str">
        <f t="shared" si="9"/>
        <v>-100,0</v>
      </c>
      <c r="V307" s="374">
        <f>Grig1!H53</f>
        <v>0</v>
      </c>
      <c r="W307" s="374">
        <f>Grig1!I53</f>
        <v>0</v>
      </c>
      <c r="X307" s="375" t="str">
        <f t="shared" si="10"/>
        <v>--</v>
      </c>
      <c r="Y307" s="368">
        <f>Grig1!K53</f>
        <v>0</v>
      </c>
      <c r="Z307" s="368">
        <f>Grig1!L53</f>
        <v>2</v>
      </c>
      <c r="AA307" s="369" t="str">
        <f t="shared" si="11"/>
        <v>-100,0</v>
      </c>
      <c r="AB307" s="368">
        <f>Grig1!N53</f>
        <v>0</v>
      </c>
      <c r="AC307" s="368">
        <f>Grig1!O53</f>
        <v>0</v>
      </c>
      <c r="AD307" s="369" t="str">
        <f t="shared" si="12"/>
        <v>--</v>
      </c>
    </row>
    <row r="308" spans="15:30" ht="12.75">
      <c r="O308" s="367" t="s">
        <v>58</v>
      </c>
      <c r="P308" s="368">
        <f>Grig1!B54</f>
        <v>17</v>
      </c>
      <c r="Q308" s="368">
        <f>Grig1!C54</f>
        <v>19</v>
      </c>
      <c r="R308" s="369" t="str">
        <f t="shared" si="8"/>
        <v>-10,5</v>
      </c>
      <c r="S308" s="379">
        <f>Grig1!E54</f>
        <v>748500</v>
      </c>
      <c r="T308" s="379">
        <f>Grig1!F54</f>
        <v>1249000</v>
      </c>
      <c r="U308" s="369" t="str">
        <f t="shared" si="9"/>
        <v>-40,1</v>
      </c>
      <c r="V308" s="374">
        <f>Grig1!H54</f>
        <v>2</v>
      </c>
      <c r="W308" s="374">
        <f>Grig1!I54</f>
        <v>0</v>
      </c>
      <c r="X308" s="375" t="str">
        <f t="shared" si="10"/>
        <v>--</v>
      </c>
      <c r="Y308" s="368">
        <f>Grig1!K54</f>
        <v>0</v>
      </c>
      <c r="Z308" s="368">
        <f>Grig1!L54</f>
        <v>0</v>
      </c>
      <c r="AA308" s="369" t="str">
        <f t="shared" si="11"/>
        <v>--</v>
      </c>
      <c r="AB308" s="368">
        <f>Grig1!N54</f>
        <v>0</v>
      </c>
      <c r="AC308" s="368">
        <f>Grig1!O54</f>
        <v>1</v>
      </c>
      <c r="AD308" s="369" t="str">
        <f t="shared" si="12"/>
        <v>-100,0</v>
      </c>
    </row>
    <row r="309" spans="15:30" ht="12.75">
      <c r="O309" s="381" t="s">
        <v>59</v>
      </c>
      <c r="P309" s="382" t="e">
        <f>Grig1!B55</f>
        <v>#REF!</v>
      </c>
      <c r="Q309" s="382">
        <f>Grig1!C55</f>
        <v>0</v>
      </c>
      <c r="R309" s="383" t="str">
        <f t="shared" si="8"/>
        <v>--</v>
      </c>
      <c r="S309" s="384" t="e">
        <f>Grig1!E55</f>
        <v>#REF!</v>
      </c>
      <c r="T309" s="384">
        <f>Grig1!F55</f>
        <v>0</v>
      </c>
      <c r="U309" s="383" t="str">
        <f t="shared" si="9"/>
        <v>--</v>
      </c>
      <c r="V309" s="385" t="e">
        <f>Grig1!H55</f>
        <v>#REF!</v>
      </c>
      <c r="W309" s="385">
        <f>Grig1!I55</f>
        <v>0</v>
      </c>
      <c r="X309" s="386" t="str">
        <f t="shared" si="10"/>
        <v>--</v>
      </c>
      <c r="Y309" s="368" t="e">
        <f>Grig1!K55</f>
        <v>#REF!</v>
      </c>
      <c r="Z309" s="368">
        <f>Grig1!L55</f>
        <v>0</v>
      </c>
      <c r="AA309" s="383" t="str">
        <f t="shared" si="11"/>
        <v>--</v>
      </c>
      <c r="AB309" s="368" t="e">
        <f>Grig1!N55</f>
        <v>#REF!</v>
      </c>
      <c r="AC309" s="368">
        <f>Grig1!O55</f>
        <v>0</v>
      </c>
      <c r="AD309" s="383" t="str">
        <f t="shared" si="12"/>
        <v>--</v>
      </c>
    </row>
    <row r="310" spans="15:30" ht="12.75">
      <c r="O310" s="387" t="s">
        <v>60</v>
      </c>
      <c r="P310" s="388" t="e">
        <f>P260+P265+P266+P268+P270+P272+P274+P275+P277+P279+P281+P283+P285+P287+P289+P290+P291+P293+P295+P297+P299+P301+P303+P305+P307+P309</f>
        <v>#VALUE!</v>
      </c>
      <c r="Q310" s="389">
        <f>Q260+Q265+Q266+Q268+Q270+Q272+Q274+Q275+Q277+Q279+Q281+Q283+Q285+Q287+Q289+Q290+Q291+Q293+Q295+Q297+Q299+Q301+Q303+Q305+Q307+Q309</f>
        <v>1443</v>
      </c>
      <c r="R310" s="390" t="e">
        <f t="shared" si="8"/>
        <v>#VALUE!</v>
      </c>
      <c r="S310" s="391" t="e">
        <f>S260+S265+S266+S268+S270+S272+S274+S275+S277+S279+S281+S283+S285+S287+S289+S290+S291+S293+S295+S297+S299+S301+S303+S305+S307+S309</f>
        <v>#VALUE!</v>
      </c>
      <c r="T310" s="392">
        <f>T260+T265+T266+T268+T270+T272+T274+T275+T277+T279+T281+T283+T285+T287+T289+T290+T291+T293+T295+T297+T299+T301+T303+T305+T307+T309</f>
        <v>16525627</v>
      </c>
      <c r="U310" s="390" t="e">
        <f t="shared" si="9"/>
        <v>#VALUE!</v>
      </c>
      <c r="V310" s="388" t="e">
        <f>V260+V265+V266+V268+V270+V272+V274+V275+V277+V279+V281+V283+V285+V287+V289+V290+V291+V293+V295+V297+V299+V301+V303+V305+V307+V309</f>
        <v>#VALUE!</v>
      </c>
      <c r="W310" s="389">
        <f>W260+W265+W266+W268+W270+W272+W274+W275+W277+W279+W281+W283+W285+W287+W289+W290+W291+W293+W295+W297+W299+W301+W303+W305+W307+W309</f>
        <v>298</v>
      </c>
      <c r="X310" s="390" t="e">
        <f t="shared" si="10"/>
        <v>#VALUE!</v>
      </c>
      <c r="Y310" s="388" t="e">
        <f>Y260+Y265+Y266+Y268+Y270+Y272+Y274+Y275+Y277+Y279+Y281+Y283+Y285+Y287+Y289+Y290+Y291+Y293+Y295+Y297+Y299+Y301+Y303+Y305+Y307+Y309</f>
        <v>#VALUE!</v>
      </c>
      <c r="Z310" s="389">
        <f>Z260+Z265+Z266+Z268+Z270+Z272+Z274+Z275+Z277+Z279+Z281+Z283+Z285+Z287+Z289+Z290+Z291+Z293+Z295+Z297+Z299+Z301+Z303+Z305+Z307+Z309</f>
        <v>1133</v>
      </c>
      <c r="AA310" s="390" t="e">
        <f t="shared" si="11"/>
        <v>#VALUE!</v>
      </c>
      <c r="AB310" s="388" t="e">
        <f>AB260+AB265+AB266+AB268+AB270+AB272+AB274+AB275+AB277+AB279+AB281+AB283+AB285+AB287+AB289+AB290+AB291+AB293+AB295+AB297+AB299+AB301+AB303+AB305+AB307+AB309</f>
        <v>#VALUE!</v>
      </c>
      <c r="AC310" s="389">
        <f>AC260+AC265+AC266+AC268+AC270+AC272+AC274+AC275+AC277+AC279+AC281+AC283+AC285+AC287+AC289+AC290+AC291+AC293+AC295+AC297+AC299+AC301+AC303+AC305+AC307+AC309</f>
        <v>362</v>
      </c>
      <c r="AD310" s="390" t="e">
        <f t="shared" si="12"/>
        <v>#VALUE!</v>
      </c>
    </row>
    <row r="311" spans="15:30" ht="12.75">
      <c r="O311" s="393" t="s">
        <v>61</v>
      </c>
      <c r="P311" s="394" t="e">
        <f>P312-P310</f>
        <v>#VALUE!</v>
      </c>
      <c r="Q311" s="395">
        <f>Q312-Q310</f>
        <v>-356</v>
      </c>
      <c r="R311" s="396" t="e">
        <f t="shared" si="8"/>
        <v>#VALUE!</v>
      </c>
      <c r="S311" s="397" t="e">
        <f>S312-S310</f>
        <v>#VALUE!</v>
      </c>
      <c r="T311" s="398">
        <f>T312-T310</f>
        <v>46504240</v>
      </c>
      <c r="U311" s="396" t="e">
        <f t="shared" si="9"/>
        <v>#VALUE!</v>
      </c>
      <c r="V311" s="394" t="e">
        <f>V312-V310</f>
        <v>#VALUE!</v>
      </c>
      <c r="W311" s="395">
        <f>W312-W310</f>
        <v>-196</v>
      </c>
      <c r="X311" s="396" t="e">
        <f t="shared" si="10"/>
        <v>#VALUE!</v>
      </c>
      <c r="Y311" s="394" t="e">
        <f>Y312-Y310</f>
        <v>#VALUE!</v>
      </c>
      <c r="Z311" s="395">
        <f>Z312-Z310</f>
        <v>-1037</v>
      </c>
      <c r="AA311" s="396" t="e">
        <f t="shared" si="11"/>
        <v>#VALUE!</v>
      </c>
      <c r="AB311" s="394" t="e">
        <f>AB312-AB310</f>
        <v>#VALUE!</v>
      </c>
      <c r="AC311" s="395">
        <f>AC312-AC310</f>
        <v>31</v>
      </c>
      <c r="AD311" s="396" t="e">
        <f t="shared" si="12"/>
        <v>#VALUE!</v>
      </c>
    </row>
    <row r="312" spans="15:30" ht="12.75">
      <c r="O312" s="393" t="s">
        <v>62</v>
      </c>
      <c r="P312" s="399">
        <f>P260+P264+P267+P269+P271+P273+P276+P278+P280+P282+P284+P286+P288+P291+P292+P294+P296+P298+P300+P302+P304+P306+P308</f>
        <v>1037</v>
      </c>
      <c r="Q312" s="400">
        <f>Q260+Q264+Q267+Q269+Q271+Q273+Q276+Q278+Q280+Q282+Q284+Q286+Q288+Q291+Q292+Q294+Q296+Q298+Q300+Q302+Q304+Q306+Q308</f>
        <v>1087</v>
      </c>
      <c r="R312" s="401" t="str">
        <f>IF(Q312&lt;&gt;0,TEXT(((P312-Q312)/Q312)*100,"0,00"),"--")</f>
        <v>-4,60</v>
      </c>
      <c r="S312" s="402">
        <f>S260+S264+S267+S269+S271+S273+S276+S278+S280+S282+S284+S286+S288+S291+S292+S294+S296+S298+S300+S302+S304+S306+S308</f>
        <v>75244277</v>
      </c>
      <c r="T312" s="403">
        <f>T260+T264+T267+T269+T271+T273+T276+T278+T280+T282+T284+T286+T288+T291+T292+T294+T296+T298+T300+T302+T304+T306+T308</f>
        <v>63029867</v>
      </c>
      <c r="U312" s="401" t="str">
        <f>IF(T312&lt;&gt;0,TEXT(((S312-T312)/T312)*100,"0,00"),"--")</f>
        <v>19,38</v>
      </c>
      <c r="V312" s="400">
        <f>V260+V264+V267+V269+V271+V273+V276+V278+V280+V282+V284+V286+V288+V291+V292+V294+V296+V298+V300+V302+V304+V306+V308</f>
        <v>92</v>
      </c>
      <c r="W312" s="400">
        <f>W260+W264+W267+W269+W271+W273+W276+W278+W280+W282+W284+W286+W288+W291+W292+W294+W296+W298+W300+W302+W304+W306+W308</f>
        <v>102</v>
      </c>
      <c r="X312" s="401" t="str">
        <f>IF(W312&lt;&gt;0,TEXT(((V312-W312)/W312)*100,"0,00"),"--")</f>
        <v>-9,80</v>
      </c>
      <c r="Y312" s="399">
        <f>Y260+Y264+Y267+Y269+Y271+Y273+Y276+Y278+Y280+Y282+Y284+Y286+Y288+Y291+Y292+Y294+Y296+Y298+Y300+Y302+Y304+Y306+Y308</f>
        <v>112</v>
      </c>
      <c r="Z312" s="400">
        <f>Z260+Z264+Z267+Z269+Z271+Z273+Z276+Z278+Z280+Z282+Z284+Z286+Z288+Z291+Z292+Z294+Z296+Z298+Z300+Z302+Z304+Z306+Z308</f>
        <v>96</v>
      </c>
      <c r="AA312" s="401" t="str">
        <f>IF(Z312&lt;&gt;0,TEXT(((Y312-Z312)/Z312)*100,"0,00"),"--")</f>
        <v>16,67</v>
      </c>
      <c r="AB312" s="399">
        <f>AB260+AB264+AB267+AB269+AB271+AB273+AB276+AB278+AB280+AB282+AB284+AB286+AB288+AB291+AB292+AB294+AB296+AB298+AB300+AB302+AB304+AB306+AB308</f>
        <v>357</v>
      </c>
      <c r="AC312" s="400">
        <f>AC260+AC264+AC267+AC269+AC271+AC273+AC276+AC278+AC280+AC282+AC284+AC286+AC288+AC291+AC292+AC294+AC296+AC298+AC300+AC302+AC304+AC306+AC308</f>
        <v>393</v>
      </c>
      <c r="AD312" s="401" t="str">
        <f t="shared" si="12"/>
        <v>-9,2</v>
      </c>
    </row>
    <row r="314" spans="15:35" ht="13.5">
      <c r="O314" s="364" t="s">
        <v>2</v>
      </c>
      <c r="P314" s="590" t="s">
        <v>3</v>
      </c>
      <c r="Q314" s="590"/>
      <c r="R314" s="590"/>
      <c r="T314" s="364" t="s">
        <v>2</v>
      </c>
      <c r="U314" s="590" t="s">
        <v>3</v>
      </c>
      <c r="V314" s="590"/>
      <c r="W314" s="590"/>
      <c r="X314" s="592" t="s">
        <v>4</v>
      </c>
      <c r="Y314" s="592"/>
      <c r="Z314" s="592"/>
      <c r="AA314" s="591" t="s">
        <v>5</v>
      </c>
      <c r="AB314" s="591"/>
      <c r="AC314" s="591"/>
      <c r="AD314" s="590" t="s">
        <v>7</v>
      </c>
      <c r="AE314" s="590"/>
      <c r="AF314" s="590"/>
      <c r="AG314" s="592" t="s">
        <v>8</v>
      </c>
      <c r="AH314" s="592"/>
      <c r="AI314" s="592"/>
    </row>
    <row r="315" spans="15:35" ht="12.75">
      <c r="O315" s="364"/>
      <c r="P315" s="365">
        <v>2012</v>
      </c>
      <c r="Q315" s="366">
        <v>2011</v>
      </c>
      <c r="R315" s="365" t="s">
        <v>9</v>
      </c>
      <c r="T315" s="364"/>
      <c r="U315" s="365">
        <v>2012</v>
      </c>
      <c r="V315" s="366">
        <v>2011</v>
      </c>
      <c r="W315" s="365" t="s">
        <v>9</v>
      </c>
      <c r="X315" s="365">
        <v>2012</v>
      </c>
      <c r="Y315" s="366">
        <v>2011</v>
      </c>
      <c r="Z315" s="365" t="s">
        <v>9</v>
      </c>
      <c r="AA315" s="372">
        <v>2012</v>
      </c>
      <c r="AB315" s="373">
        <v>2011</v>
      </c>
      <c r="AC315" s="372" t="s">
        <v>9</v>
      </c>
      <c r="AD315" s="365">
        <v>2012</v>
      </c>
      <c r="AE315" s="366">
        <v>2011</v>
      </c>
      <c r="AF315" s="365" t="s">
        <v>9</v>
      </c>
      <c r="AG315" s="365">
        <v>2012</v>
      </c>
      <c r="AH315" s="366">
        <v>2011</v>
      </c>
      <c r="AI315" s="365" t="s">
        <v>9</v>
      </c>
    </row>
    <row r="316" spans="15:35" ht="12.75">
      <c r="O316" s="367" t="s">
        <v>14</v>
      </c>
      <c r="P316" s="368">
        <f>P264-P265</f>
        <v>24</v>
      </c>
      <c r="Q316" s="368">
        <f>Q264-Q265</f>
        <v>-1011</v>
      </c>
      <c r="R316" s="369" t="str">
        <f aca="true" t="shared" si="13" ref="R316:R337">IF(Q316&lt;&gt;0,TEXT(((P316-Q316)/Q316)*100,"0,0"),"--")</f>
        <v>-102,4</v>
      </c>
      <c r="T316" s="367" t="s">
        <v>10</v>
      </c>
      <c r="U316" s="376">
        <f>P260</f>
        <v>228</v>
      </c>
      <c r="V316" s="370">
        <f>Q260</f>
        <v>234</v>
      </c>
      <c r="W316" s="369" t="str">
        <f aca="true" t="shared" si="14" ref="W316:W325">IF(V316&lt;&gt;0,TEXT(((U316-V316)/V316)*100,"0,0"),"--")</f>
        <v>-2,6</v>
      </c>
      <c r="X316" s="377">
        <f>S260</f>
        <v>19722406</v>
      </c>
      <c r="Y316" s="378">
        <f>T260</f>
        <v>14008557</v>
      </c>
      <c r="Z316" s="371" t="str">
        <f>IF(Y316&lt;&gt;0,TEXT(((X316-Y316)/Y316)*100,"0,0"),"--")</f>
        <v>40,8</v>
      </c>
      <c r="AA316" s="376">
        <f>V260</f>
        <v>21</v>
      </c>
      <c r="AB316" s="376">
        <f>W260</f>
        <v>16</v>
      </c>
      <c r="AC316" s="371" t="str">
        <f>IF(AB316&lt;&gt;0,TEXT(((AA316-AB316)/AB316)*100,"0,0"),"--")</f>
        <v>31,3</v>
      </c>
      <c r="AD316" s="376">
        <f>Y260</f>
        <v>49</v>
      </c>
      <c r="AE316" s="376">
        <f>Z260</f>
        <v>44</v>
      </c>
      <c r="AF316" s="371" t="str">
        <f>IF(AE316&lt;&gt;0,TEXT(((AD316-AE316)/AE316)*100,"0,0"),"--")</f>
        <v>11,4</v>
      </c>
      <c r="AG316" s="376">
        <f>AG317+AG318+AG319</f>
        <v>79</v>
      </c>
      <c r="AH316" s="370">
        <f>AH317+AH318+AH319</f>
        <v>39</v>
      </c>
      <c r="AI316" s="371" t="str">
        <f>IF(AH316&lt;&gt;0,TEXT(((AG316-AH316)/AH316)*100,"0,0"),"--")</f>
        <v>102,6</v>
      </c>
    </row>
    <row r="317" spans="15:35" ht="12.75">
      <c r="O317" s="367" t="s">
        <v>17</v>
      </c>
      <c r="P317" s="368">
        <f>P267</f>
        <v>23</v>
      </c>
      <c r="Q317" s="368">
        <f>Q267</f>
        <v>23</v>
      </c>
      <c r="R317" s="369" t="str">
        <f t="shared" si="13"/>
        <v>0,0</v>
      </c>
      <c r="T317" s="367" t="s">
        <v>15</v>
      </c>
      <c r="U317" s="368">
        <f>P265</f>
        <v>28</v>
      </c>
      <c r="V317" s="368">
        <f>Q265</f>
        <v>1087</v>
      </c>
      <c r="W317" s="369" t="str">
        <f t="shared" si="14"/>
        <v>-97,4</v>
      </c>
      <c r="X317" s="379">
        <f>S265</f>
        <v>1154000</v>
      </c>
      <c r="Y317" s="379">
        <f>T265</f>
        <v>298000</v>
      </c>
      <c r="Z317" s="371" t="str">
        <f aca="true" t="shared" si="15" ref="Z317:Z325">IF(Y317&lt;&gt;0,TEXT(((X317-Y317)/Y317)*100,"0,0"),"--")</f>
        <v>287,2</v>
      </c>
      <c r="AA317" s="374">
        <f>V265</f>
        <v>7</v>
      </c>
      <c r="AB317" s="374">
        <f>W265</f>
        <v>139</v>
      </c>
      <c r="AC317" s="371" t="str">
        <f aca="true" t="shared" si="16" ref="AC317:AC325">IF(AB317&lt;&gt;0,TEXT(((AA317-AB317)/AB317)*100,"0,0"),"--")</f>
        <v>-95,0</v>
      </c>
      <c r="AD317" s="368">
        <f>Y265</f>
        <v>2</v>
      </c>
      <c r="AE317" s="368">
        <f>Z265</f>
        <v>533</v>
      </c>
      <c r="AF317" s="371" t="str">
        <f aca="true" t="shared" si="17" ref="AF317:AF325">IF(AE317&lt;&gt;0,TEXT(((AD317-AE317)/AE317)*100,"0,0"),"--")</f>
        <v>-99,6</v>
      </c>
      <c r="AG317" s="368">
        <v>54</v>
      </c>
      <c r="AH317" s="368">
        <v>18</v>
      </c>
      <c r="AI317" s="371" t="str">
        <f aca="true" t="shared" si="18" ref="AI317:AI325">IF(AH317&lt;&gt;0,TEXT(((AG317-AH317)/AH317)*100,"0,0"),"--")</f>
        <v>200,0</v>
      </c>
    </row>
    <row r="318" spans="15:35" ht="12.75">
      <c r="O318" s="367" t="s">
        <v>19</v>
      </c>
      <c r="P318" s="368">
        <f>P269</f>
        <v>38</v>
      </c>
      <c r="Q318" s="368">
        <f>Q269</f>
        <v>36</v>
      </c>
      <c r="R318" s="369" t="str">
        <f t="shared" si="13"/>
        <v>5,6</v>
      </c>
      <c r="T318" s="367" t="s">
        <v>27</v>
      </c>
      <c r="U318" s="368">
        <f>P277</f>
        <v>37</v>
      </c>
      <c r="V318" s="368">
        <f>Q277</f>
        <v>4</v>
      </c>
      <c r="W318" s="369" t="str">
        <f t="shared" si="14"/>
        <v>825,0</v>
      </c>
      <c r="X318" s="379">
        <f>S277</f>
        <v>2</v>
      </c>
      <c r="Y318" s="379">
        <f>T277</f>
        <v>0</v>
      </c>
      <c r="Z318" s="371" t="str">
        <f t="shared" si="15"/>
        <v>--</v>
      </c>
      <c r="AA318" s="374">
        <f>V277</f>
        <v>2</v>
      </c>
      <c r="AB318" s="374">
        <f>W277</f>
        <v>0</v>
      </c>
      <c r="AC318" s="371" t="str">
        <f t="shared" si="16"/>
        <v>--</v>
      </c>
      <c r="AD318" s="368">
        <f>Y277</f>
        <v>29</v>
      </c>
      <c r="AE318" s="368">
        <f>Z277</f>
        <v>1</v>
      </c>
      <c r="AF318" s="371" t="str">
        <f t="shared" si="17"/>
        <v>2800,0</v>
      </c>
      <c r="AG318" s="368">
        <v>25</v>
      </c>
      <c r="AH318" s="368">
        <v>4</v>
      </c>
      <c r="AI318" s="371" t="str">
        <f t="shared" si="18"/>
        <v>525,0</v>
      </c>
    </row>
    <row r="319" spans="15:35" ht="12.75">
      <c r="O319" s="367" t="s">
        <v>21</v>
      </c>
      <c r="P319" s="368">
        <f>P271</f>
        <v>50</v>
      </c>
      <c r="Q319" s="368">
        <f>Q271</f>
        <v>53</v>
      </c>
      <c r="R319" s="369" t="str">
        <f t="shared" si="13"/>
        <v>-5,7</v>
      </c>
      <c r="T319" s="367" t="s">
        <v>29</v>
      </c>
      <c r="U319" s="368">
        <f>P279</f>
        <v>24</v>
      </c>
      <c r="V319" s="368">
        <f>Q279</f>
        <v>1</v>
      </c>
      <c r="W319" s="369" t="str">
        <f t="shared" si="14"/>
        <v>2300,0</v>
      </c>
      <c r="X319" s="379">
        <f>S279</f>
        <v>0</v>
      </c>
      <c r="Y319" s="379">
        <f>T279</f>
        <v>0</v>
      </c>
      <c r="Z319" s="371" t="str">
        <f t="shared" si="15"/>
        <v>--</v>
      </c>
      <c r="AA319" s="374">
        <f>V279</f>
        <v>1</v>
      </c>
      <c r="AB319" s="374">
        <f>W279</f>
        <v>0</v>
      </c>
      <c r="AC319" s="371" t="str">
        <f t="shared" si="16"/>
        <v>--</v>
      </c>
      <c r="AD319" s="368">
        <f>Y278</f>
        <v>1</v>
      </c>
      <c r="AE319" s="368">
        <f>Z278</f>
        <v>0</v>
      </c>
      <c r="AF319" s="371" t="str">
        <f t="shared" si="17"/>
        <v>--</v>
      </c>
      <c r="AG319" s="368">
        <v>0</v>
      </c>
      <c r="AH319" s="368">
        <v>17</v>
      </c>
      <c r="AI319" s="371" t="str">
        <f t="shared" si="18"/>
        <v>-100,0</v>
      </c>
    </row>
    <row r="320" spans="15:35" ht="12.75">
      <c r="O320" s="367" t="s">
        <v>23</v>
      </c>
      <c r="P320" s="368">
        <f>P273</f>
        <v>34</v>
      </c>
      <c r="Q320" s="368">
        <f>Q273</f>
        <v>33</v>
      </c>
      <c r="R320" s="369" t="str">
        <f t="shared" si="13"/>
        <v>3,0</v>
      </c>
      <c r="T320" s="367" t="s">
        <v>37</v>
      </c>
      <c r="U320" s="368">
        <f>P287</f>
        <v>62</v>
      </c>
      <c r="V320" s="368">
        <f>Q287</f>
        <v>0</v>
      </c>
      <c r="W320" s="369" t="str">
        <f t="shared" si="14"/>
        <v>--</v>
      </c>
      <c r="X320" s="379">
        <f>S287</f>
        <v>10</v>
      </c>
      <c r="Y320" s="379">
        <f>T287</f>
        <v>0</v>
      </c>
      <c r="Z320" s="371" t="str">
        <f t="shared" si="15"/>
        <v>--</v>
      </c>
      <c r="AA320" s="374">
        <f>V287</f>
        <v>13</v>
      </c>
      <c r="AB320" s="374">
        <f>W287</f>
        <v>0</v>
      </c>
      <c r="AC320" s="371" t="str">
        <f t="shared" si="16"/>
        <v>--</v>
      </c>
      <c r="AD320" s="368">
        <f>Y287</f>
        <v>8</v>
      </c>
      <c r="AE320" s="368">
        <f>Z287</f>
        <v>0</v>
      </c>
      <c r="AF320" s="371" t="str">
        <f t="shared" si="17"/>
        <v>--</v>
      </c>
      <c r="AG320" s="368">
        <v>0</v>
      </c>
      <c r="AH320" s="368">
        <v>0</v>
      </c>
      <c r="AI320" s="371" t="str">
        <f t="shared" si="18"/>
        <v>--</v>
      </c>
    </row>
    <row r="321" spans="15:35" ht="12.75">
      <c r="O321" s="367" t="s">
        <v>26</v>
      </c>
      <c r="P321" s="368">
        <f>P276-P277</f>
        <v>43</v>
      </c>
      <c r="Q321" s="368">
        <f>Q276-Q277</f>
        <v>70</v>
      </c>
      <c r="R321" s="369" t="str">
        <f t="shared" si="13"/>
        <v>-38,6</v>
      </c>
      <c r="T321" s="370" t="s">
        <v>41</v>
      </c>
      <c r="U321" s="368">
        <f>P291</f>
        <v>41</v>
      </c>
      <c r="V321" s="368">
        <f>Q291</f>
        <v>49</v>
      </c>
      <c r="W321" s="369" t="str">
        <f t="shared" si="14"/>
        <v>-16,3</v>
      </c>
      <c r="X321" s="379">
        <f>S291</f>
        <v>1006600</v>
      </c>
      <c r="Y321" s="379">
        <f>T291</f>
        <v>1958963</v>
      </c>
      <c r="Z321" s="371" t="str">
        <f t="shared" si="15"/>
        <v>-48,6</v>
      </c>
      <c r="AA321" s="374">
        <f>V291</f>
        <v>0</v>
      </c>
      <c r="AB321" s="374">
        <f>W291</f>
        <v>2</v>
      </c>
      <c r="AC321" s="371" t="str">
        <f t="shared" si="16"/>
        <v>-100,0</v>
      </c>
      <c r="AD321" s="368">
        <f>Y291</f>
        <v>8</v>
      </c>
      <c r="AE321" s="368">
        <f>Z291</f>
        <v>9</v>
      </c>
      <c r="AF321" s="371" t="str">
        <f t="shared" si="17"/>
        <v>-11,1</v>
      </c>
      <c r="AG321" s="368">
        <v>1</v>
      </c>
      <c r="AH321" s="368">
        <v>89</v>
      </c>
      <c r="AI321" s="371" t="str">
        <f t="shared" si="18"/>
        <v>-98,9</v>
      </c>
    </row>
    <row r="322" spans="15:35" ht="12.75">
      <c r="O322" s="367" t="s">
        <v>28</v>
      </c>
      <c r="P322" s="368">
        <f>P278-P279</f>
        <v>4</v>
      </c>
      <c r="Q322" s="368">
        <f>Q278-Q279</f>
        <v>28</v>
      </c>
      <c r="R322" s="369" t="str">
        <f t="shared" si="13"/>
        <v>-85,7</v>
      </c>
      <c r="T322" s="367" t="s">
        <v>47</v>
      </c>
      <c r="U322" s="368">
        <f>P297</f>
        <v>13</v>
      </c>
      <c r="V322" s="368">
        <f>Q297</f>
        <v>2</v>
      </c>
      <c r="W322" s="369" t="str">
        <f t="shared" si="14"/>
        <v>550,0</v>
      </c>
      <c r="X322" s="379">
        <f>S297</f>
        <v>3</v>
      </c>
      <c r="Y322" s="379">
        <f>T297</f>
        <v>2</v>
      </c>
      <c r="Z322" s="371" t="str">
        <f t="shared" si="15"/>
        <v>50,0</v>
      </c>
      <c r="AA322" s="374">
        <f>V297</f>
        <v>0</v>
      </c>
      <c r="AB322" s="374">
        <f>W297</f>
        <v>0</v>
      </c>
      <c r="AC322" s="371" t="str">
        <f t="shared" si="16"/>
        <v>--</v>
      </c>
      <c r="AD322" s="368">
        <f>Y297</f>
        <v>1</v>
      </c>
      <c r="AE322" s="368">
        <f>Z297</f>
        <v>2</v>
      </c>
      <c r="AF322" s="371" t="str">
        <f t="shared" si="17"/>
        <v>-50,0</v>
      </c>
      <c r="AG322" s="368">
        <v>0</v>
      </c>
      <c r="AH322" s="368">
        <v>0</v>
      </c>
      <c r="AI322" s="371" t="str">
        <f t="shared" si="18"/>
        <v>--</v>
      </c>
    </row>
    <row r="323" spans="15:35" ht="12.75">
      <c r="O323" s="367" t="s">
        <v>30</v>
      </c>
      <c r="P323" s="368">
        <f>P280</f>
        <v>20</v>
      </c>
      <c r="Q323" s="368">
        <f>Q280</f>
        <v>25</v>
      </c>
      <c r="R323" s="369" t="str">
        <f t="shared" si="13"/>
        <v>-20,0</v>
      </c>
      <c r="T323" s="367" t="s">
        <v>53</v>
      </c>
      <c r="U323" s="368">
        <f>P303</f>
        <v>17</v>
      </c>
      <c r="V323" s="368">
        <f>Q303</f>
        <v>2</v>
      </c>
      <c r="W323" s="369" t="str">
        <f t="shared" si="14"/>
        <v>750,0</v>
      </c>
      <c r="X323" s="379">
        <f>S303</f>
        <v>0</v>
      </c>
      <c r="Y323" s="379">
        <f>T303</f>
        <v>0</v>
      </c>
      <c r="Z323" s="371" t="str">
        <f t="shared" si="15"/>
        <v>--</v>
      </c>
      <c r="AA323" s="374">
        <f>V303</f>
        <v>0</v>
      </c>
      <c r="AB323" s="374">
        <f>W303</f>
        <v>0</v>
      </c>
      <c r="AC323" s="371" t="str">
        <f t="shared" si="16"/>
        <v>--</v>
      </c>
      <c r="AD323" s="368">
        <f>Y303</f>
        <v>8</v>
      </c>
      <c r="AE323" s="368">
        <f>Z303</f>
        <v>0</v>
      </c>
      <c r="AF323" s="371" t="str">
        <f t="shared" si="17"/>
        <v>--</v>
      </c>
      <c r="AG323" s="368">
        <v>0</v>
      </c>
      <c r="AH323" s="368">
        <v>22</v>
      </c>
      <c r="AI323" s="371" t="str">
        <f t="shared" si="18"/>
        <v>-100,0</v>
      </c>
    </row>
    <row r="324" spans="15:35" ht="12.75">
      <c r="O324" s="367" t="s">
        <v>32</v>
      </c>
      <c r="P324" s="368">
        <f>P282</f>
        <v>15</v>
      </c>
      <c r="Q324" s="368">
        <f>Q282</f>
        <v>26</v>
      </c>
      <c r="R324" s="369" t="str">
        <f t="shared" si="13"/>
        <v>-42,3</v>
      </c>
      <c r="T324" s="367" t="s">
        <v>55</v>
      </c>
      <c r="U324" s="368">
        <f>P305</f>
        <v>2</v>
      </c>
      <c r="V324" s="368">
        <f>Q305</f>
        <v>0</v>
      </c>
      <c r="W324" s="369" t="str">
        <f t="shared" si="14"/>
        <v>--</v>
      </c>
      <c r="X324" s="379">
        <f>S305</f>
        <v>0</v>
      </c>
      <c r="Y324" s="379">
        <f>T305</f>
        <v>0</v>
      </c>
      <c r="Z324" s="371" t="str">
        <f t="shared" si="15"/>
        <v>--</v>
      </c>
      <c r="AA324" s="374">
        <f>V305</f>
        <v>0</v>
      </c>
      <c r="AB324" s="374">
        <f>W305</f>
        <v>0</v>
      </c>
      <c r="AC324" s="371" t="str">
        <f t="shared" si="16"/>
        <v>--</v>
      </c>
      <c r="AD324" s="368">
        <f>Y305</f>
        <v>0</v>
      </c>
      <c r="AE324" s="368">
        <f>Z305</f>
        <v>0</v>
      </c>
      <c r="AF324" s="371" t="str">
        <f t="shared" si="17"/>
        <v>--</v>
      </c>
      <c r="AG324" s="368">
        <v>0</v>
      </c>
      <c r="AH324" s="368">
        <v>0</v>
      </c>
      <c r="AI324" s="371" t="str">
        <f t="shared" si="18"/>
        <v>--</v>
      </c>
    </row>
    <row r="325" spans="15:35" ht="12.75">
      <c r="O325" s="367" t="s">
        <v>34</v>
      </c>
      <c r="P325" s="368">
        <f>P284</f>
        <v>38</v>
      </c>
      <c r="Q325" s="368">
        <f>Q284</f>
        <v>30</v>
      </c>
      <c r="R325" s="369" t="str">
        <f t="shared" si="13"/>
        <v>26,7</v>
      </c>
      <c r="U325" s="359">
        <f>SUM(U316:U324)</f>
        <v>452</v>
      </c>
      <c r="V325" s="359">
        <f>SUM(V316:V324)</f>
        <v>1379</v>
      </c>
      <c r="W325" s="369" t="str">
        <f t="shared" si="14"/>
        <v>-67,2</v>
      </c>
      <c r="X325" s="404">
        <f>SUM(X316:X324)</f>
        <v>21883021</v>
      </c>
      <c r="Y325" s="404">
        <f>SUM(Y316:Y324)</f>
        <v>16265522</v>
      </c>
      <c r="Z325" s="371" t="str">
        <f t="shared" si="15"/>
        <v>34,5</v>
      </c>
      <c r="AA325" s="359">
        <f>SUM(AA316:AA324)</f>
        <v>44</v>
      </c>
      <c r="AB325" s="359">
        <f>SUM(AB316:AB324)</f>
        <v>157</v>
      </c>
      <c r="AC325" s="371" t="str">
        <f t="shared" si="16"/>
        <v>-72,0</v>
      </c>
      <c r="AD325" s="359">
        <f>SUM(AD316:AD324)</f>
        <v>106</v>
      </c>
      <c r="AE325" s="359">
        <f>SUM(AE316:AE324)</f>
        <v>589</v>
      </c>
      <c r="AF325" s="371" t="str">
        <f t="shared" si="17"/>
        <v>-82,0</v>
      </c>
      <c r="AG325" s="359">
        <f>SUM(AG316:AG324)</f>
        <v>159</v>
      </c>
      <c r="AH325" s="359">
        <f>SUM(AH316:AH324)</f>
        <v>189</v>
      </c>
      <c r="AI325" s="371" t="str">
        <f t="shared" si="18"/>
        <v>-15,9</v>
      </c>
    </row>
    <row r="326" spans="15:18" ht="12.75">
      <c r="O326" s="367" t="s">
        <v>36</v>
      </c>
      <c r="P326" s="368">
        <f>P286-P287</f>
        <v>-26</v>
      </c>
      <c r="Q326" s="368">
        <f>Q286-Q287</f>
        <v>38</v>
      </c>
      <c r="R326" s="369" t="str">
        <f t="shared" si="13"/>
        <v>-168,4</v>
      </c>
    </row>
    <row r="327" spans="15:24" ht="12.75">
      <c r="O327" s="367" t="s">
        <v>38</v>
      </c>
      <c r="P327" s="368">
        <f>P288</f>
        <v>37</v>
      </c>
      <c r="Q327" s="368">
        <f>Q288</f>
        <v>34</v>
      </c>
      <c r="R327" s="369" t="str">
        <f t="shared" si="13"/>
        <v>8,8</v>
      </c>
      <c r="X327" s="324">
        <f>X325/Y325</f>
        <v>1.345362356031365</v>
      </c>
    </row>
    <row r="328" spans="15:18" ht="12.75">
      <c r="O328" s="367" t="s">
        <v>42</v>
      </c>
      <c r="P328" s="368">
        <f>P292</f>
        <v>21</v>
      </c>
      <c r="Q328" s="368">
        <f>Q292</f>
        <v>19</v>
      </c>
      <c r="R328" s="369" t="str">
        <f t="shared" si="13"/>
        <v>10,5</v>
      </c>
    </row>
    <row r="329" spans="15:18" ht="12.75">
      <c r="O329" s="367" t="s">
        <v>44</v>
      </c>
      <c r="P329" s="368">
        <f>P294</f>
        <v>24</v>
      </c>
      <c r="Q329" s="368">
        <f>Q294</f>
        <v>33</v>
      </c>
      <c r="R329" s="369" t="str">
        <f t="shared" si="13"/>
        <v>-27,3</v>
      </c>
    </row>
    <row r="330" spans="15:18" ht="12.75">
      <c r="O330" s="367" t="s">
        <v>46</v>
      </c>
      <c r="P330" s="368">
        <f>P296-P297</f>
        <v>39</v>
      </c>
      <c r="Q330" s="368">
        <f>Q296-Q297</f>
        <v>36</v>
      </c>
      <c r="R330" s="369" t="str">
        <f t="shared" si="13"/>
        <v>8,3</v>
      </c>
    </row>
    <row r="331" spans="15:18" ht="12.75">
      <c r="O331" s="367" t="s">
        <v>48</v>
      </c>
      <c r="P331" s="368">
        <f>P298</f>
        <v>85</v>
      </c>
      <c r="Q331" s="368">
        <f>Q298</f>
        <v>87</v>
      </c>
      <c r="R331" s="369" t="str">
        <f t="shared" si="13"/>
        <v>-2,3</v>
      </c>
    </row>
    <row r="332" spans="15:18" ht="12.75">
      <c r="O332" s="367" t="s">
        <v>50</v>
      </c>
      <c r="P332" s="368">
        <f>P300</f>
        <v>14</v>
      </c>
      <c r="Q332" s="368">
        <f>Q300</f>
        <v>10</v>
      </c>
      <c r="R332" s="369" t="str">
        <f t="shared" si="13"/>
        <v>40,0</v>
      </c>
    </row>
    <row r="333" spans="15:18" ht="12.75">
      <c r="O333" s="367" t="s">
        <v>52</v>
      </c>
      <c r="P333" s="368">
        <f>P302-P303</f>
        <v>27</v>
      </c>
      <c r="Q333" s="368">
        <f>Q302-Q303</f>
        <v>55</v>
      </c>
      <c r="R333" s="369" t="str">
        <f t="shared" si="13"/>
        <v>-50,9</v>
      </c>
    </row>
    <row r="334" spans="15:18" ht="12.75">
      <c r="O334" s="367" t="s">
        <v>54</v>
      </c>
      <c r="P334" s="368">
        <f>P304-P305</f>
        <v>37</v>
      </c>
      <c r="Q334" s="368">
        <f>Q304-Q305</f>
        <v>46</v>
      </c>
      <c r="R334" s="369" t="str">
        <f t="shared" si="13"/>
        <v>-19,6</v>
      </c>
    </row>
    <row r="335" spans="15:18" ht="12.75">
      <c r="O335" s="367" t="s">
        <v>56</v>
      </c>
      <c r="P335" s="368">
        <f>P306</f>
        <v>21</v>
      </c>
      <c r="Q335" s="368">
        <f>Q306</f>
        <v>18</v>
      </c>
      <c r="R335" s="369" t="str">
        <f t="shared" si="13"/>
        <v>16,7</v>
      </c>
    </row>
    <row r="336" spans="15:18" ht="12.75">
      <c r="O336" s="367" t="s">
        <v>58</v>
      </c>
      <c r="P336" s="368">
        <f>P308</f>
        <v>17</v>
      </c>
      <c r="Q336" s="368">
        <f>Q308</f>
        <v>19</v>
      </c>
      <c r="R336" s="369" t="str">
        <f t="shared" si="13"/>
        <v>-10,5</v>
      </c>
    </row>
    <row r="337" spans="15:18" ht="12.75">
      <c r="O337" s="393" t="s">
        <v>61</v>
      </c>
      <c r="P337" s="394">
        <f>SUM(P316:P336)</f>
        <v>585</v>
      </c>
      <c r="Q337" s="394">
        <f>SUM(Q316:Q336)</f>
        <v>-292</v>
      </c>
      <c r="R337" s="396" t="str">
        <f t="shared" si="13"/>
        <v>-300,3</v>
      </c>
    </row>
    <row r="339" spans="15:24" ht="13.5">
      <c r="O339" s="364" t="s">
        <v>2</v>
      </c>
      <c r="P339" s="592" t="s">
        <v>4</v>
      </c>
      <c r="Q339" s="592"/>
      <c r="R339" s="592"/>
      <c r="S339" s="591" t="s">
        <v>5</v>
      </c>
      <c r="T339" s="591"/>
      <c r="U339" s="591"/>
      <c r="V339" s="590" t="s">
        <v>7</v>
      </c>
      <c r="W339" s="590"/>
      <c r="X339" s="590"/>
    </row>
    <row r="340" spans="15:24" ht="12.75">
      <c r="O340" s="364"/>
      <c r="P340" s="365">
        <v>2012</v>
      </c>
      <c r="Q340" s="366">
        <v>2011</v>
      </c>
      <c r="R340" s="365" t="s">
        <v>9</v>
      </c>
      <c r="S340" s="372">
        <v>2012</v>
      </c>
      <c r="T340" s="373">
        <v>2011</v>
      </c>
      <c r="U340" s="372" t="s">
        <v>9</v>
      </c>
      <c r="V340" s="365">
        <v>2012</v>
      </c>
      <c r="W340" s="366">
        <v>2011</v>
      </c>
      <c r="X340" s="365" t="s">
        <v>9</v>
      </c>
    </row>
    <row r="341" spans="15:24" ht="12.75">
      <c r="O341" s="367" t="s">
        <v>14</v>
      </c>
      <c r="P341" s="379">
        <f>S264-S265</f>
        <v>3752357</v>
      </c>
      <c r="Q341" s="379">
        <f>T264-T265</f>
        <v>4090550</v>
      </c>
      <c r="R341" s="369" t="str">
        <f aca="true" t="shared" si="19" ref="R341:R362">IF(Q341&lt;&gt;0,TEXT(((P341-Q341)/Q341)*100,"0,0"),"--")</f>
        <v>-8,3</v>
      </c>
      <c r="S341" s="379">
        <f>V264-V265</f>
        <v>1</v>
      </c>
      <c r="T341" s="379">
        <f>W264-W265</f>
        <v>-133</v>
      </c>
      <c r="U341" s="375" t="str">
        <f aca="true" t="shared" si="20" ref="U341:U362">IF(T341&lt;&gt;0,TEXT(((S341-T341)/T341)*100,"0,0"),"--")</f>
        <v>-100,8</v>
      </c>
      <c r="V341" s="379">
        <f>Y264-Y265</f>
        <v>4</v>
      </c>
      <c r="W341" s="379">
        <f>Z264-Z265</f>
        <v>-530</v>
      </c>
      <c r="X341" s="369" t="str">
        <f aca="true" t="shared" si="21" ref="X341:X362">IF(W341&lt;&gt;0,TEXT(((V341-W341)/W341)*100,"0,0"),"--")</f>
        <v>-100,8</v>
      </c>
    </row>
    <row r="342" spans="15:24" ht="12.75">
      <c r="O342" s="367" t="s">
        <v>17</v>
      </c>
      <c r="P342" s="379">
        <f>S267</f>
        <v>662500</v>
      </c>
      <c r="Q342" s="379">
        <f>T267</f>
        <v>2349782</v>
      </c>
      <c r="R342" s="369" t="str">
        <f t="shared" si="19"/>
        <v>-71,8</v>
      </c>
      <c r="S342" s="379">
        <f>V267</f>
        <v>1</v>
      </c>
      <c r="T342" s="379">
        <f>W267</f>
        <v>5</v>
      </c>
      <c r="U342" s="375" t="str">
        <f t="shared" si="20"/>
        <v>-80,0</v>
      </c>
      <c r="V342" s="379">
        <f>Y267</f>
        <v>1</v>
      </c>
      <c r="W342" s="379">
        <f>Z267</f>
        <v>5</v>
      </c>
      <c r="X342" s="369" t="str">
        <f t="shared" si="21"/>
        <v>-80,0</v>
      </c>
    </row>
    <row r="343" spans="15:24" ht="12.75">
      <c r="O343" s="367" t="s">
        <v>19</v>
      </c>
      <c r="P343" s="379">
        <f>S269</f>
        <v>1339820</v>
      </c>
      <c r="Q343" s="379">
        <f>T269</f>
        <v>1882588</v>
      </c>
      <c r="R343" s="369" t="str">
        <f t="shared" si="19"/>
        <v>-28,8</v>
      </c>
      <c r="S343" s="379">
        <f>V269</f>
        <v>1</v>
      </c>
      <c r="T343" s="379">
        <f>W269</f>
        <v>0</v>
      </c>
      <c r="U343" s="375" t="str">
        <f t="shared" si="20"/>
        <v>--</v>
      </c>
      <c r="V343" s="379">
        <f>Y269</f>
        <v>2</v>
      </c>
      <c r="W343" s="379">
        <f>Z269</f>
        <v>0</v>
      </c>
      <c r="X343" s="369" t="str">
        <f t="shared" si="21"/>
        <v>--</v>
      </c>
    </row>
    <row r="344" spans="15:24" ht="12.75">
      <c r="O344" s="367" t="s">
        <v>21</v>
      </c>
      <c r="P344" s="379">
        <f>S271</f>
        <v>2341227</v>
      </c>
      <c r="Q344" s="379">
        <f>T271</f>
        <v>3482390</v>
      </c>
      <c r="R344" s="369" t="str">
        <f t="shared" si="19"/>
        <v>-32,8</v>
      </c>
      <c r="S344" s="379">
        <f>V271</f>
        <v>2</v>
      </c>
      <c r="T344" s="379">
        <f>W271</f>
        <v>4</v>
      </c>
      <c r="U344" s="375" t="str">
        <f t="shared" si="20"/>
        <v>-50,0</v>
      </c>
      <c r="V344" s="379">
        <f>Y271</f>
        <v>5</v>
      </c>
      <c r="W344" s="379">
        <f>Z271</f>
        <v>2</v>
      </c>
      <c r="X344" s="369" t="str">
        <f t="shared" si="21"/>
        <v>150,0</v>
      </c>
    </row>
    <row r="345" spans="15:24" ht="12.75">
      <c r="O345" s="367" t="s">
        <v>23</v>
      </c>
      <c r="P345" s="379">
        <f>S273</f>
        <v>4619076</v>
      </c>
      <c r="Q345" s="379">
        <f>T273</f>
        <v>2922500</v>
      </c>
      <c r="R345" s="369" t="str">
        <f t="shared" si="19"/>
        <v>58,1</v>
      </c>
      <c r="S345" s="379">
        <f>V273</f>
        <v>1</v>
      </c>
      <c r="T345" s="379">
        <f>W273</f>
        <v>2</v>
      </c>
      <c r="U345" s="375" t="str">
        <f t="shared" si="20"/>
        <v>-50,0</v>
      </c>
      <c r="V345" s="379">
        <f>Y273</f>
        <v>2</v>
      </c>
      <c r="W345" s="379">
        <f>Z273</f>
        <v>2</v>
      </c>
      <c r="X345" s="369" t="str">
        <f t="shared" si="21"/>
        <v>0,0</v>
      </c>
    </row>
    <row r="346" spans="15:24" ht="12.75">
      <c r="O346" s="367" t="s">
        <v>26</v>
      </c>
      <c r="P346" s="379">
        <f>S276-S277</f>
        <v>5282248</v>
      </c>
      <c r="Q346" s="379">
        <f>T276-T277</f>
        <v>3651500</v>
      </c>
      <c r="R346" s="369" t="str">
        <f t="shared" si="19"/>
        <v>44,7</v>
      </c>
      <c r="S346" s="379">
        <f>V276-V277</f>
        <v>11</v>
      </c>
      <c r="T346" s="379">
        <f>W276-W277</f>
        <v>9</v>
      </c>
      <c r="U346" s="375" t="str">
        <f t="shared" si="20"/>
        <v>22,2</v>
      </c>
      <c r="V346" s="379">
        <f>Y276-Y277</f>
        <v>-20</v>
      </c>
      <c r="W346" s="379">
        <f>Z276-Z277</f>
        <v>2</v>
      </c>
      <c r="X346" s="369" t="str">
        <f t="shared" si="21"/>
        <v>-1100,0</v>
      </c>
    </row>
    <row r="347" spans="15:24" ht="12.75">
      <c r="O347" s="367" t="s">
        <v>28</v>
      </c>
      <c r="P347" s="379">
        <f>S278-S279</f>
        <v>6549623</v>
      </c>
      <c r="Q347" s="379">
        <f>T278-T279</f>
        <v>1344000</v>
      </c>
      <c r="R347" s="369" t="str">
        <f t="shared" si="19"/>
        <v>387,3</v>
      </c>
      <c r="S347" s="379">
        <f>V278-V279</f>
        <v>0</v>
      </c>
      <c r="T347" s="379">
        <f>W278-W279</f>
        <v>2</v>
      </c>
      <c r="U347" s="375" t="str">
        <f t="shared" si="20"/>
        <v>-100,0</v>
      </c>
      <c r="V347" s="379">
        <f>Y278-Y279</f>
        <v>-15</v>
      </c>
      <c r="W347" s="379">
        <f>Z278-Z279</f>
        <v>0</v>
      </c>
      <c r="X347" s="369" t="str">
        <f t="shared" si="21"/>
        <v>--</v>
      </c>
    </row>
    <row r="348" spans="1:24" ht="12.75">
      <c r="A348" s="324" t="s">
        <v>246</v>
      </c>
      <c r="O348" s="367" t="s">
        <v>30</v>
      </c>
      <c r="P348" s="379">
        <f>S280</f>
        <v>1363500</v>
      </c>
      <c r="Q348" s="379">
        <f>T280</f>
        <v>705651</v>
      </c>
      <c r="R348" s="369" t="str">
        <f t="shared" si="19"/>
        <v>93,2</v>
      </c>
      <c r="S348" s="379">
        <f>V280</f>
        <v>1</v>
      </c>
      <c r="T348" s="379">
        <f>W280</f>
        <v>5</v>
      </c>
      <c r="U348" s="375" t="str">
        <f t="shared" si="20"/>
        <v>-80,0</v>
      </c>
      <c r="V348" s="379">
        <f>Y280</f>
        <v>0</v>
      </c>
      <c r="W348" s="379">
        <f>Z280</f>
        <v>0</v>
      </c>
      <c r="X348" s="369" t="str">
        <f t="shared" si="21"/>
        <v>--</v>
      </c>
    </row>
    <row r="349" spans="15:24" ht="12.75">
      <c r="O349" s="367" t="s">
        <v>32</v>
      </c>
      <c r="P349" s="379">
        <f>S282</f>
        <v>638500</v>
      </c>
      <c r="Q349" s="379">
        <f>T282</f>
        <v>1488804</v>
      </c>
      <c r="R349" s="369" t="str">
        <f t="shared" si="19"/>
        <v>-57,1</v>
      </c>
      <c r="S349" s="379">
        <f>V282</f>
        <v>1</v>
      </c>
      <c r="T349" s="379">
        <f>W282</f>
        <v>3</v>
      </c>
      <c r="U349" s="375" t="str">
        <f t="shared" si="20"/>
        <v>-66,7</v>
      </c>
      <c r="V349" s="379">
        <f>Y282</f>
        <v>1</v>
      </c>
      <c r="W349" s="379">
        <f>Z282</f>
        <v>1</v>
      </c>
      <c r="X349" s="369" t="str">
        <f t="shared" si="21"/>
        <v>0,0</v>
      </c>
    </row>
    <row r="350" spans="15:24" ht="12.75">
      <c r="O350" s="367" t="s">
        <v>34</v>
      </c>
      <c r="P350" s="379">
        <f>S284</f>
        <v>2475000</v>
      </c>
      <c r="Q350" s="379">
        <f>T284</f>
        <v>1663500</v>
      </c>
      <c r="R350" s="369" t="str">
        <f t="shared" si="19"/>
        <v>48,8</v>
      </c>
      <c r="S350" s="379">
        <f>V284</f>
        <v>1</v>
      </c>
      <c r="T350" s="379">
        <f>W284</f>
        <v>7</v>
      </c>
      <c r="U350" s="375" t="str">
        <f t="shared" si="20"/>
        <v>-85,7</v>
      </c>
      <c r="V350" s="379">
        <f>Y284</f>
        <v>0</v>
      </c>
      <c r="W350" s="379">
        <f>Z284</f>
        <v>2</v>
      </c>
      <c r="X350" s="369" t="str">
        <f t="shared" si="21"/>
        <v>-100,0</v>
      </c>
    </row>
    <row r="351" spans="15:24" ht="12.75">
      <c r="O351" s="367" t="s">
        <v>36</v>
      </c>
      <c r="P351" s="379">
        <f>S286-S287</f>
        <v>3065990</v>
      </c>
      <c r="Q351" s="379">
        <f>T286-T287</f>
        <v>2848400</v>
      </c>
      <c r="R351" s="369" t="str">
        <f t="shared" si="19"/>
        <v>7,6</v>
      </c>
      <c r="S351" s="379">
        <f>V286-V287</f>
        <v>-8</v>
      </c>
      <c r="T351" s="379">
        <f>W286-W287</f>
        <v>4</v>
      </c>
      <c r="U351" s="375" t="str">
        <f t="shared" si="20"/>
        <v>-300,0</v>
      </c>
      <c r="V351" s="379">
        <f>Y286-Y287</f>
        <v>-8</v>
      </c>
      <c r="W351" s="379">
        <f>Z286-Z287</f>
        <v>3</v>
      </c>
      <c r="X351" s="369" t="str">
        <f t="shared" si="21"/>
        <v>-366,7</v>
      </c>
    </row>
    <row r="352" spans="15:24" ht="12.75">
      <c r="O352" s="367" t="s">
        <v>38</v>
      </c>
      <c r="P352" s="379">
        <f>S288</f>
        <v>1937300</v>
      </c>
      <c r="Q352" s="379">
        <f>T288</f>
        <v>1674620</v>
      </c>
      <c r="R352" s="369" t="str">
        <f t="shared" si="19"/>
        <v>15,7</v>
      </c>
      <c r="S352" s="379">
        <f>V288</f>
        <v>7</v>
      </c>
      <c r="T352" s="379">
        <f>W288</f>
        <v>5</v>
      </c>
      <c r="U352" s="375" t="str">
        <f t="shared" si="20"/>
        <v>40,0</v>
      </c>
      <c r="V352" s="379">
        <f>Y288</f>
        <v>2</v>
      </c>
      <c r="W352" s="379">
        <f>Z288</f>
        <v>2</v>
      </c>
      <c r="X352" s="369" t="str">
        <f t="shared" si="21"/>
        <v>0,0</v>
      </c>
    </row>
    <row r="353" spans="15:24" ht="12.75">
      <c r="O353" s="367" t="s">
        <v>42</v>
      </c>
      <c r="P353" s="379">
        <f>S292</f>
        <v>2113500</v>
      </c>
      <c r="Q353" s="379">
        <f>T292</f>
        <v>897200</v>
      </c>
      <c r="R353" s="369" t="str">
        <f t="shared" si="19"/>
        <v>135,6</v>
      </c>
      <c r="S353" s="379">
        <f>V292</f>
        <v>4</v>
      </c>
      <c r="T353" s="379">
        <f>W292</f>
        <v>3</v>
      </c>
      <c r="U353" s="375" t="str">
        <f t="shared" si="20"/>
        <v>33,3</v>
      </c>
      <c r="V353" s="379">
        <f>Y292</f>
        <v>0</v>
      </c>
      <c r="W353" s="379">
        <f>Z292</f>
        <v>2</v>
      </c>
      <c r="X353" s="369" t="str">
        <f t="shared" si="21"/>
        <v>-100,0</v>
      </c>
    </row>
    <row r="354" spans="15:24" ht="12.75">
      <c r="O354" s="367" t="s">
        <v>44</v>
      </c>
      <c r="P354" s="379">
        <f>S294</f>
        <v>1185000</v>
      </c>
      <c r="Q354" s="379">
        <f>T294</f>
        <v>3056400</v>
      </c>
      <c r="R354" s="369" t="str">
        <f t="shared" si="19"/>
        <v>-61,2</v>
      </c>
      <c r="S354" s="379">
        <f>V294</f>
        <v>7</v>
      </c>
      <c r="T354" s="379">
        <f>W294</f>
        <v>2</v>
      </c>
      <c r="U354" s="375" t="str">
        <f t="shared" si="20"/>
        <v>250,0</v>
      </c>
      <c r="V354" s="379">
        <f>Y294</f>
        <v>0</v>
      </c>
      <c r="W354" s="379">
        <f>Z294</f>
        <v>1</v>
      </c>
      <c r="X354" s="369" t="str">
        <f t="shared" si="21"/>
        <v>-100,0</v>
      </c>
    </row>
    <row r="355" spans="15:24" ht="12.75">
      <c r="O355" s="367" t="s">
        <v>46</v>
      </c>
      <c r="P355" s="379">
        <f>S296-S297</f>
        <v>3367997</v>
      </c>
      <c r="Q355" s="379">
        <f>T296-T297</f>
        <v>1751498</v>
      </c>
      <c r="R355" s="369" t="str">
        <f t="shared" si="19"/>
        <v>92,3</v>
      </c>
      <c r="S355" s="379">
        <f>V296-V297</f>
        <v>6</v>
      </c>
      <c r="T355" s="379">
        <f>W296-W297</f>
        <v>4</v>
      </c>
      <c r="U355" s="375" t="str">
        <f t="shared" si="20"/>
        <v>50,0</v>
      </c>
      <c r="V355" s="379">
        <f>Y296-Y297</f>
        <v>6</v>
      </c>
      <c r="W355" s="379">
        <f>Z296-Z297</f>
        <v>0</v>
      </c>
      <c r="X355" s="369" t="str">
        <f t="shared" si="21"/>
        <v>--</v>
      </c>
    </row>
    <row r="356" spans="15:24" ht="12.75">
      <c r="O356" s="367" t="s">
        <v>48</v>
      </c>
      <c r="P356" s="379">
        <f>S298</f>
        <v>4954238</v>
      </c>
      <c r="Q356" s="379">
        <f>T298</f>
        <v>4818131</v>
      </c>
      <c r="R356" s="369" t="str">
        <f t="shared" si="19"/>
        <v>2,8</v>
      </c>
      <c r="S356" s="379">
        <f>V298</f>
        <v>5</v>
      </c>
      <c r="T356" s="379">
        <f>W298</f>
        <v>8</v>
      </c>
      <c r="U356" s="375" t="str">
        <f t="shared" si="20"/>
        <v>-37,5</v>
      </c>
      <c r="V356" s="379">
        <f>Y298</f>
        <v>7</v>
      </c>
      <c r="W356" s="379">
        <f>Z298</f>
        <v>8</v>
      </c>
      <c r="X356" s="369" t="str">
        <f t="shared" si="21"/>
        <v>-12,5</v>
      </c>
    </row>
    <row r="357" spans="15:24" ht="12.75">
      <c r="O357" s="367" t="s">
        <v>50</v>
      </c>
      <c r="P357" s="379">
        <f>S300</f>
        <v>1029610</v>
      </c>
      <c r="Q357" s="379">
        <f>T300</f>
        <v>791000</v>
      </c>
      <c r="R357" s="369" t="str">
        <f t="shared" si="19"/>
        <v>30,2</v>
      </c>
      <c r="S357" s="379">
        <f>V300</f>
        <v>0</v>
      </c>
      <c r="T357" s="379">
        <f>W300</f>
        <v>1</v>
      </c>
      <c r="U357" s="375" t="str">
        <f t="shared" si="20"/>
        <v>-100,0</v>
      </c>
      <c r="V357" s="379">
        <f>Y300</f>
        <v>0</v>
      </c>
      <c r="W357" s="379">
        <f>Z300</f>
        <v>0</v>
      </c>
      <c r="X357" s="369" t="str">
        <f t="shared" si="21"/>
        <v>--</v>
      </c>
    </row>
    <row r="358" spans="15:24" ht="12.75">
      <c r="O358" s="367" t="s">
        <v>52</v>
      </c>
      <c r="P358" s="379">
        <f>S302-S303</f>
        <v>3230400</v>
      </c>
      <c r="Q358" s="379">
        <f>T302-T303</f>
        <v>2810131</v>
      </c>
      <c r="R358" s="369" t="str">
        <f t="shared" si="19"/>
        <v>15,0</v>
      </c>
      <c r="S358" s="379">
        <f>V302-V303</f>
        <v>3</v>
      </c>
      <c r="T358" s="379">
        <f>W302-W303</f>
        <v>8</v>
      </c>
      <c r="U358" s="375" t="str">
        <f t="shared" si="20"/>
        <v>-62,5</v>
      </c>
      <c r="V358" s="379">
        <f>Y302-Y303</f>
        <v>-6</v>
      </c>
      <c r="W358" s="379">
        <f>Z302-Z303</f>
        <v>4</v>
      </c>
      <c r="X358" s="369" t="str">
        <f t="shared" si="21"/>
        <v>-250,0</v>
      </c>
    </row>
    <row r="359" spans="15:24" ht="12.75">
      <c r="O359" s="367" t="s">
        <v>54</v>
      </c>
      <c r="P359" s="379">
        <f>S304-S305</f>
        <v>1902500</v>
      </c>
      <c r="Q359" s="379">
        <f>T304-T305</f>
        <v>2589700</v>
      </c>
      <c r="R359" s="369" t="str">
        <f t="shared" si="19"/>
        <v>-26,5</v>
      </c>
      <c r="S359" s="379">
        <f>V304-V305</f>
        <v>2</v>
      </c>
      <c r="T359" s="379">
        <f>W304-W305</f>
        <v>5</v>
      </c>
      <c r="U359" s="375" t="str">
        <f t="shared" si="20"/>
        <v>-60,0</v>
      </c>
      <c r="V359" s="379">
        <f>Y304-Y305</f>
        <v>9</v>
      </c>
      <c r="W359" s="379">
        <f>Z304-Z305</f>
        <v>1</v>
      </c>
      <c r="X359" s="369" t="str">
        <f t="shared" si="21"/>
        <v>800,0</v>
      </c>
    </row>
    <row r="360" spans="15:24" ht="12.75">
      <c r="O360" s="367" t="s">
        <v>56</v>
      </c>
      <c r="P360" s="379">
        <f>S306</f>
        <v>802370</v>
      </c>
      <c r="Q360" s="379">
        <f>T306</f>
        <v>697000</v>
      </c>
      <c r="R360" s="369" t="str">
        <f t="shared" si="19"/>
        <v>15,1</v>
      </c>
      <c r="S360" s="379">
        <f>V306</f>
        <v>0</v>
      </c>
      <c r="T360" s="379">
        <f>W306</f>
        <v>1</v>
      </c>
      <c r="U360" s="375" t="str">
        <f t="shared" si="20"/>
        <v>-100,0</v>
      </c>
      <c r="V360" s="379">
        <f>Y306</f>
        <v>1</v>
      </c>
      <c r="W360" s="379">
        <f>Z306</f>
        <v>2</v>
      </c>
      <c r="X360" s="369" t="str">
        <f t="shared" si="21"/>
        <v>-50,0</v>
      </c>
    </row>
    <row r="361" spans="15:24" ht="12.75">
      <c r="O361" s="367" t="s">
        <v>58</v>
      </c>
      <c r="P361" s="379">
        <f>S308</f>
        <v>748500</v>
      </c>
      <c r="Q361" s="379">
        <f>T308</f>
        <v>1249000</v>
      </c>
      <c r="R361" s="369" t="str">
        <f t="shared" si="19"/>
        <v>-40,1</v>
      </c>
      <c r="S361" s="379">
        <f>V308</f>
        <v>2</v>
      </c>
      <c r="T361" s="379">
        <f>W308</f>
        <v>0</v>
      </c>
      <c r="U361" s="375" t="str">
        <f t="shared" si="20"/>
        <v>--</v>
      </c>
      <c r="V361" s="379">
        <f>Y308</f>
        <v>0</v>
      </c>
      <c r="W361" s="379">
        <f>Z308</f>
        <v>0</v>
      </c>
      <c r="X361" s="369" t="str">
        <f t="shared" si="21"/>
        <v>--</v>
      </c>
    </row>
    <row r="362" spans="15:24" ht="12.75">
      <c r="O362" s="393" t="s">
        <v>61</v>
      </c>
      <c r="P362" s="397">
        <f>SUM(P341:P361)</f>
        <v>53361256</v>
      </c>
      <c r="Q362" s="397">
        <f>SUM(Q341:Q361)</f>
        <v>46764345</v>
      </c>
      <c r="R362" s="396" t="str">
        <f t="shared" si="19"/>
        <v>14,1</v>
      </c>
      <c r="S362" s="397">
        <f>SUM(S341:S361)</f>
        <v>48</v>
      </c>
      <c r="T362" s="397">
        <f>SUM(T341:T361)</f>
        <v>-55</v>
      </c>
      <c r="U362" s="396" t="str">
        <f t="shared" si="20"/>
        <v>-187,3</v>
      </c>
      <c r="V362" s="397">
        <f>SUM(V341:V361)</f>
        <v>-9</v>
      </c>
      <c r="W362" s="397">
        <f>SUM(W341:W361)</f>
        <v>-493</v>
      </c>
      <c r="X362" s="396" t="str">
        <f t="shared" si="21"/>
        <v>-98,2</v>
      </c>
    </row>
    <row r="367" spans="15:42" ht="24" customHeight="1">
      <c r="O367" s="405" t="s">
        <v>2</v>
      </c>
      <c r="P367" s="593" t="s">
        <v>137</v>
      </c>
      <c r="Q367" s="593"/>
      <c r="R367" s="593"/>
      <c r="S367" s="594" t="s">
        <v>138</v>
      </c>
      <c r="T367" s="594"/>
      <c r="U367" s="594"/>
      <c r="V367" s="593" t="s">
        <v>139</v>
      </c>
      <c r="W367" s="593"/>
      <c r="X367" s="593"/>
      <c r="Y367" s="594" t="s">
        <v>140</v>
      </c>
      <c r="Z367" s="594"/>
      <c r="AA367" s="594"/>
      <c r="AB367" s="595" t="s">
        <v>141</v>
      </c>
      <c r="AC367" s="595"/>
      <c r="AD367" s="595"/>
      <c r="AE367" s="596" t="s">
        <v>142</v>
      </c>
      <c r="AF367" s="596"/>
      <c r="AG367" s="596"/>
      <c r="AH367" s="597" t="s">
        <v>246</v>
      </c>
      <c r="AI367" s="597"/>
      <c r="AJ367" s="597"/>
      <c r="AK367" s="597" t="s">
        <v>103</v>
      </c>
      <c r="AL367" s="597"/>
      <c r="AM367" s="597"/>
      <c r="AN367" s="598" t="s">
        <v>247</v>
      </c>
      <c r="AO367" s="598"/>
      <c r="AP367" s="598"/>
    </row>
    <row r="368" spans="15:42" ht="12.75">
      <c r="O368" s="406"/>
      <c r="P368" s="407">
        <v>2012</v>
      </c>
      <c r="Q368" s="366">
        <v>2011</v>
      </c>
      <c r="R368" s="408" t="s">
        <v>9</v>
      </c>
      <c r="S368" s="409">
        <v>2012</v>
      </c>
      <c r="T368" s="366">
        <v>2011</v>
      </c>
      <c r="U368" s="410" t="s">
        <v>9</v>
      </c>
      <c r="V368" s="407">
        <v>2012</v>
      </c>
      <c r="W368" s="366">
        <v>2011</v>
      </c>
      <c r="X368" s="408" t="s">
        <v>9</v>
      </c>
      <c r="Y368" s="409">
        <v>2012</v>
      </c>
      <c r="Z368" s="366">
        <v>2011</v>
      </c>
      <c r="AA368" s="410" t="s">
        <v>9</v>
      </c>
      <c r="AB368" s="407">
        <v>2012</v>
      </c>
      <c r="AC368" s="366">
        <v>2011</v>
      </c>
      <c r="AD368" s="408" t="s">
        <v>9</v>
      </c>
      <c r="AE368" s="409">
        <v>2012</v>
      </c>
      <c r="AF368" s="366">
        <v>2011</v>
      </c>
      <c r="AG368" s="410" t="s">
        <v>9</v>
      </c>
      <c r="AH368" s="411">
        <v>2012</v>
      </c>
      <c r="AI368" s="359">
        <v>2011</v>
      </c>
      <c r="AJ368" s="408" t="s">
        <v>9</v>
      </c>
      <c r="AK368" s="412">
        <v>2012</v>
      </c>
      <c r="AL368" s="359">
        <v>2011</v>
      </c>
      <c r="AM368" s="413" t="s">
        <v>9</v>
      </c>
      <c r="AN368" s="414">
        <v>2012</v>
      </c>
      <c r="AO368" s="359">
        <v>2011</v>
      </c>
      <c r="AP368" s="359" t="s">
        <v>9</v>
      </c>
    </row>
    <row r="369" spans="14:42" ht="12.75">
      <c r="N369" s="324">
        <v>1</v>
      </c>
      <c r="O369" s="415" t="s">
        <v>14</v>
      </c>
      <c r="P369" s="416">
        <f>'На 10 тыс'!B5</f>
        <v>52</v>
      </c>
      <c r="Q369" s="417">
        <f>'На 10 тыс'!C5</f>
        <v>76</v>
      </c>
      <c r="R369" s="418">
        <f aca="true" t="shared" si="22" ref="R369:R394">IF(Q369=0,"--",(((P369*100)/Q369)-100)/100)</f>
        <v>-0.31578947368421056</v>
      </c>
      <c r="S369" s="419">
        <f>'На 10 тыс'!E5</f>
        <v>4906357</v>
      </c>
      <c r="T369" s="417">
        <f>'На 10 тыс'!F5</f>
        <v>4388550</v>
      </c>
      <c r="U369" s="420">
        <f aca="true" t="shared" si="23" ref="U369:U394">IF(T369=0,"--",(((S369*100)/T369)-100)/100)</f>
        <v>0.1179904524273394</v>
      </c>
      <c r="V369" s="421">
        <f>'На 10 тыс'!H5</f>
        <v>9.598168964689814</v>
      </c>
      <c r="W369" s="417">
        <f>'На 10 тыс'!I5</f>
        <v>14.028093102238957</v>
      </c>
      <c r="X369" s="418">
        <f aca="true" t="shared" si="24" ref="X369:X394">IF(W369=0,"--",(((V369*100)/W369)-100)/100)</f>
        <v>-0.31578947368421056</v>
      </c>
      <c r="Y369" s="422">
        <f>'На 10 тыс'!K5</f>
        <v>94353.01923076923</v>
      </c>
      <c r="Z369" s="423">
        <f>'На 10 тыс'!L5</f>
        <v>57744.07894736842</v>
      </c>
      <c r="AA369" s="420">
        <f aca="true" t="shared" si="25" ref="AA369:AA380">IF(Z369=0,"--",(((Y369*100)/Z369)-100)/100)</f>
        <v>0.6339860458553424</v>
      </c>
      <c r="AB369" s="421">
        <f>'На 10 тыс'!N5</f>
        <v>90.56162209055503</v>
      </c>
      <c r="AC369" s="424">
        <f>'На 10 тыс'!O5</f>
        <v>81.00393155767208</v>
      </c>
      <c r="AD369" s="418">
        <f aca="true" t="shared" si="26" ref="AD369:AD394">IF(AC369=0,"--",(((AB369*100)/AC369)-100)/100)</f>
        <v>0.11799045242733924</v>
      </c>
      <c r="AE369" s="419">
        <f>'На 10 тыс'!Q5</f>
        <v>8</v>
      </c>
      <c r="AF369" s="417">
        <f>'На 10 тыс'!R5</f>
        <v>6</v>
      </c>
      <c r="AG369" s="420">
        <f aca="true" t="shared" si="27" ref="AG369:AG394">IF(AF369=0,"--",(((AE369*100)/AF369)-100)/100)</f>
        <v>0.3333333333333334</v>
      </c>
      <c r="AH369" s="425">
        <f>AE369/VLOOKUP($O369,НаселГлавы!$A$1:$B$29,2,0)*10000</f>
        <v>3.1872509960159365</v>
      </c>
      <c r="AI369" s="426">
        <f>AF369/VLOOKUP($O369,НаселГлавы!$A$1:$B$29,2,0)*10000</f>
        <v>2.3904382470119523</v>
      </c>
      <c r="AJ369" s="418">
        <f aca="true" t="shared" si="28" ref="AJ369:AJ394">IF(AI369=0,"--",(((AH369*100)/AI369)-100)/100)</f>
        <v>0.33333333333333315</v>
      </c>
      <c r="AK369" s="427">
        <f>Grig1!K10</f>
        <v>6</v>
      </c>
      <c r="AL369" s="428">
        <f>Grig1!L10</f>
        <v>3</v>
      </c>
      <c r="AM369" s="420">
        <f aca="true" t="shared" si="29" ref="AM369:AM394">IF(AL369=0,"--",(((AK369*100)/AL369)-100)/100)</f>
        <v>1</v>
      </c>
      <c r="AN369" s="425">
        <f>AK369/VLOOKUP($O369,НаселГлавы!$A$1:$B$29,2,0)*10000</f>
        <v>2.3904382470119523</v>
      </c>
      <c r="AO369" s="426">
        <f>AL369/VLOOKUP($O369,НаселГлавы!$A$1:$B$29,2,0)*10000</f>
        <v>1.1952191235059761</v>
      </c>
      <c r="AP369" s="429">
        <f aca="true" t="shared" si="30" ref="AP369:AP394">IF(AO369=0,"--",(((AN369*100)/AO369)-100)/100)</f>
        <v>1</v>
      </c>
    </row>
    <row r="370" spans="14:42" ht="12.75">
      <c r="N370" s="324">
        <v>2</v>
      </c>
      <c r="O370" s="415" t="s">
        <v>17</v>
      </c>
      <c r="P370" s="416">
        <f>'На 10 тыс'!B6</f>
        <v>23</v>
      </c>
      <c r="Q370" s="417">
        <f>'На 10 тыс'!C6</f>
        <v>23</v>
      </c>
      <c r="R370" s="418">
        <f t="shared" si="22"/>
        <v>0</v>
      </c>
      <c r="S370" s="419">
        <f>'На 10 тыс'!E6</f>
        <v>662500</v>
      </c>
      <c r="T370" s="417">
        <f>'На 10 тыс'!F6</f>
        <v>2349782</v>
      </c>
      <c r="U370" s="420">
        <f t="shared" si="23"/>
        <v>-0.7180589518517038</v>
      </c>
      <c r="V370" s="421">
        <f>'На 10 тыс'!H6</f>
        <v>13.028208904497564</v>
      </c>
      <c r="W370" s="417">
        <f>'На 10 тыс'!I6</f>
        <v>13.028208904497564</v>
      </c>
      <c r="X370" s="418">
        <f t="shared" si="24"/>
        <v>0</v>
      </c>
      <c r="Y370" s="422">
        <f>'На 10 тыс'!K6</f>
        <v>28804.347826086956</v>
      </c>
      <c r="Z370" s="423">
        <f>'На 10 тыс'!L6</f>
        <v>102164.43478260869</v>
      </c>
      <c r="AA370" s="420">
        <f t="shared" si="25"/>
        <v>-0.7180589518517035</v>
      </c>
      <c r="AB370" s="421">
        <f>'На 10 тыс'!N6</f>
        <v>37.526906083607116</v>
      </c>
      <c r="AC370" s="424">
        <f>'На 10 тыс'!O6</f>
        <v>133.10195989577434</v>
      </c>
      <c r="AD370" s="418">
        <f t="shared" si="26"/>
        <v>-0.7180589518517038</v>
      </c>
      <c r="AE370" s="419">
        <f>'На 10 тыс'!Q6</f>
        <v>1</v>
      </c>
      <c r="AF370" s="417">
        <f>'На 10 тыс'!R6</f>
        <v>5</v>
      </c>
      <c r="AG370" s="420">
        <f t="shared" si="27"/>
        <v>-0.8</v>
      </c>
      <c r="AH370" s="430">
        <f>AE370/VLOOKUP($O370,НаселГлавы!$A$1:$B$29,2,0)*10000</f>
        <v>0.4424778761061947</v>
      </c>
      <c r="AI370" s="426">
        <f>AF370/VLOOKUP($O370,НаселГлавы!$A$1:$B$29,2,0)*10000</f>
        <v>2.2123893805309733</v>
      </c>
      <c r="AJ370" s="418">
        <f t="shared" si="28"/>
        <v>-0.8</v>
      </c>
      <c r="AK370" s="427">
        <f>Grig1!K13</f>
        <v>1</v>
      </c>
      <c r="AL370" s="428">
        <f>Grig1!L13</f>
        <v>5</v>
      </c>
      <c r="AM370" s="420">
        <f t="shared" si="29"/>
        <v>-0.8</v>
      </c>
      <c r="AN370" s="430">
        <f>AK370/VLOOKUP($O370,НаселГлавы!$A$1:$B$29,2,0)*10000</f>
        <v>0.4424778761061947</v>
      </c>
      <c r="AO370" s="426">
        <f>AL370/VLOOKUP($O370,НаселГлавы!$A$1:$B$29,2,0)*10000</f>
        <v>2.2123893805309733</v>
      </c>
      <c r="AP370" s="429">
        <f t="shared" si="30"/>
        <v>-0.8</v>
      </c>
    </row>
    <row r="371" spans="14:42" ht="12.75">
      <c r="N371" s="324">
        <v>3</v>
      </c>
      <c r="O371" s="415" t="s">
        <v>19</v>
      </c>
      <c r="P371" s="416">
        <f>'На 10 тыс'!B7</f>
        <v>38</v>
      </c>
      <c r="Q371" s="417">
        <f>'На 10 тыс'!C7</f>
        <v>36</v>
      </c>
      <c r="R371" s="418">
        <f t="shared" si="22"/>
        <v>0.05555555555555557</v>
      </c>
      <c r="S371" s="419">
        <f>'На 10 тыс'!E7</f>
        <v>1339820</v>
      </c>
      <c r="T371" s="417">
        <f>'На 10 тыс'!F7</f>
        <v>1882588</v>
      </c>
      <c r="U371" s="420">
        <f t="shared" si="23"/>
        <v>-0.2883094973515182</v>
      </c>
      <c r="V371" s="421">
        <f>'На 10 тыс'!H7</f>
        <v>10.072361968881705</v>
      </c>
      <c r="W371" s="417">
        <f>'На 10 тыс'!I7</f>
        <v>9.542237654730034</v>
      </c>
      <c r="X371" s="418">
        <f t="shared" si="24"/>
        <v>0.05555555555555571</v>
      </c>
      <c r="Y371" s="422">
        <f>'На 10 тыс'!K7</f>
        <v>35258.42105263158</v>
      </c>
      <c r="Z371" s="423">
        <f>'На 10 тыс'!L7</f>
        <v>52294.11111111111</v>
      </c>
      <c r="AA371" s="420">
        <f t="shared" si="25"/>
        <v>-0.325766892227754</v>
      </c>
      <c r="AB371" s="421">
        <f>'На 10 тыс'!N7</f>
        <v>35.51355792933443</v>
      </c>
      <c r="AC371" s="424">
        <f>'На 10 тыс'!O7</f>
        <v>49.90028361650807</v>
      </c>
      <c r="AD371" s="418">
        <f t="shared" si="26"/>
        <v>-0.28830949735151806</v>
      </c>
      <c r="AE371" s="419">
        <f>'На 10 тыс'!Q7</f>
        <v>1</v>
      </c>
      <c r="AF371" s="417">
        <f>'На 10 тыс'!R7</f>
        <v>0</v>
      </c>
      <c r="AG371" s="420" t="str">
        <f t="shared" si="27"/>
        <v>--</v>
      </c>
      <c r="AH371" s="430">
        <f>AE371/VLOOKUP($O371,НаселГлавы!$A$1:$B$29,2,0)*10000</f>
        <v>0.24449877750611249</v>
      </c>
      <c r="AI371" s="426">
        <f>AF371/VLOOKUP($O371,НаселГлавы!$A$1:$B$29,2,0)*10000</f>
        <v>0</v>
      </c>
      <c r="AJ371" s="418" t="str">
        <f t="shared" si="28"/>
        <v>--</v>
      </c>
      <c r="AK371" s="427">
        <f>Grig1!K15</f>
        <v>2</v>
      </c>
      <c r="AL371" s="428">
        <f>Grig1!L15</f>
        <v>0</v>
      </c>
      <c r="AM371" s="420" t="str">
        <f t="shared" si="29"/>
        <v>--</v>
      </c>
      <c r="AN371" s="430">
        <f>AK371/VLOOKUP($O371,НаселГлавы!$A$1:$B$29,2,0)*10000</f>
        <v>0.48899755501222497</v>
      </c>
      <c r="AO371" s="426">
        <f>AL371/VLOOKUP($O371,НаселГлавы!$A$1:$B$29,2,0)*10000</f>
        <v>0</v>
      </c>
      <c r="AP371" s="429" t="str">
        <f t="shared" si="30"/>
        <v>--</v>
      </c>
    </row>
    <row r="372" spans="14:42" ht="12.75">
      <c r="N372" s="324">
        <v>4</v>
      </c>
      <c r="O372" s="415" t="s">
        <v>21</v>
      </c>
      <c r="P372" s="416">
        <f>'На 10 тыс'!B8</f>
        <v>50</v>
      </c>
      <c r="Q372" s="417">
        <f>'На 10 тыс'!C8</f>
        <v>53</v>
      </c>
      <c r="R372" s="418">
        <f t="shared" si="22"/>
        <v>-0.05660377358490564</v>
      </c>
      <c r="S372" s="419">
        <f>'На 10 тыс'!E8</f>
        <v>2341227</v>
      </c>
      <c r="T372" s="417">
        <f>'На 10 тыс'!F8</f>
        <v>3482390</v>
      </c>
      <c r="U372" s="420">
        <f t="shared" si="23"/>
        <v>-0.3276953471610015</v>
      </c>
      <c r="V372" s="421">
        <f>'На 10 тыс'!H8</f>
        <v>14.382694741686803</v>
      </c>
      <c r="W372" s="417">
        <f>'На 10 тыс'!I8</f>
        <v>15.245656426188011</v>
      </c>
      <c r="X372" s="418">
        <f t="shared" si="24"/>
        <v>-0.05660377358490564</v>
      </c>
      <c r="Y372" s="422">
        <f>'На 10 тыс'!K8</f>
        <v>46824.54</v>
      </c>
      <c r="Z372" s="423">
        <f>'На 10 тыс'!L8</f>
        <v>65705.47169811321</v>
      </c>
      <c r="AA372" s="420">
        <f t="shared" si="25"/>
        <v>-0.28735706799066163</v>
      </c>
      <c r="AB372" s="421">
        <f>'На 10 тыс'!N8</f>
        <v>67.34630652399034</v>
      </c>
      <c r="AC372" s="424">
        <f>'На 10 тыс'!O8</f>
        <v>100.17230468300541</v>
      </c>
      <c r="AD372" s="418">
        <f t="shared" si="26"/>
        <v>-0.3276953471610015</v>
      </c>
      <c r="AE372" s="419">
        <f>'На 10 тыс'!Q8</f>
        <v>2</v>
      </c>
      <c r="AF372" s="417">
        <f>'На 10 тыс'!R8</f>
        <v>4</v>
      </c>
      <c r="AG372" s="420">
        <f t="shared" si="27"/>
        <v>-0.5</v>
      </c>
      <c r="AH372" s="430">
        <f>AE372/VLOOKUP($O372,НаселГлавы!$A$1:$B$29,2,0)*10000</f>
        <v>0.45146726862302483</v>
      </c>
      <c r="AI372" s="426">
        <f>AF372/VLOOKUP($O372,НаселГлавы!$A$1:$B$29,2,0)*10000</f>
        <v>0.9029345372460497</v>
      </c>
      <c r="AJ372" s="418">
        <f t="shared" si="28"/>
        <v>-0.49999999999999994</v>
      </c>
      <c r="AK372" s="427">
        <f>Grig1!K17</f>
        <v>5</v>
      </c>
      <c r="AL372" s="428">
        <f>Grig1!L17</f>
        <v>2</v>
      </c>
      <c r="AM372" s="420">
        <f t="shared" si="29"/>
        <v>1.5</v>
      </c>
      <c r="AN372" s="430">
        <f>AK372/VLOOKUP($O372,НаселГлавы!$A$1:$B$29,2,0)*10000</f>
        <v>1.128668171557562</v>
      </c>
      <c r="AO372" s="426">
        <f>AL372/VLOOKUP($O372,НаселГлавы!$A$1:$B$29,2,0)*10000</f>
        <v>0.45146726862302483</v>
      </c>
      <c r="AP372" s="429">
        <f t="shared" si="30"/>
        <v>1.4999999999999998</v>
      </c>
    </row>
    <row r="373" spans="14:42" ht="12.75">
      <c r="N373" s="324">
        <v>5</v>
      </c>
      <c r="O373" s="415" t="s">
        <v>23</v>
      </c>
      <c r="P373" s="416">
        <f>'На 10 тыс'!B9</f>
        <v>34</v>
      </c>
      <c r="Q373" s="417">
        <f>'На 10 тыс'!C9</f>
        <v>33</v>
      </c>
      <c r="R373" s="418">
        <f t="shared" si="22"/>
        <v>0.03030303030303031</v>
      </c>
      <c r="S373" s="419">
        <f>'На 10 тыс'!E9</f>
        <v>4619076</v>
      </c>
      <c r="T373" s="417">
        <f>'На 10 тыс'!F9</f>
        <v>2922500</v>
      </c>
      <c r="U373" s="420">
        <f t="shared" si="23"/>
        <v>0.5805221556886226</v>
      </c>
      <c r="V373" s="421">
        <f>'На 10 тыс'!H9</f>
        <v>13.364779874213836</v>
      </c>
      <c r="W373" s="417">
        <f>'На 10 тыс'!I9</f>
        <v>12.971698113207546</v>
      </c>
      <c r="X373" s="418">
        <f t="shared" si="24"/>
        <v>0.03030303030303031</v>
      </c>
      <c r="Y373" s="422">
        <f>'На 10 тыс'!K9</f>
        <v>135855.17647058822</v>
      </c>
      <c r="Z373" s="423">
        <f>'На 10 тыс'!L9</f>
        <v>88560.60606060606</v>
      </c>
      <c r="AA373" s="420">
        <f t="shared" si="25"/>
        <v>0.5340362099330747</v>
      </c>
      <c r="AB373" s="421">
        <f>'На 10 тыс'!N9</f>
        <v>181.56745283018867</v>
      </c>
      <c r="AC373" s="424">
        <f>'На 10 тыс'!O9</f>
        <v>114.87814465408805</v>
      </c>
      <c r="AD373" s="418">
        <f t="shared" si="26"/>
        <v>0.5805221556886226</v>
      </c>
      <c r="AE373" s="419">
        <f>'На 10 тыс'!Q9</f>
        <v>1</v>
      </c>
      <c r="AF373" s="417">
        <f>'На 10 тыс'!R9</f>
        <v>2</v>
      </c>
      <c r="AG373" s="420">
        <f t="shared" si="27"/>
        <v>-0.5</v>
      </c>
      <c r="AH373" s="430">
        <f>AE373/VLOOKUP($O373,НаселГлавы!$A$1:$B$29,2,0)*10000</f>
        <v>0.34843205574912894</v>
      </c>
      <c r="AI373" s="426">
        <f>AF373/VLOOKUP($O373,НаселГлавы!$A$1:$B$29,2,0)*10000</f>
        <v>0.6968641114982579</v>
      </c>
      <c r="AJ373" s="418">
        <f t="shared" si="28"/>
        <v>-0.5</v>
      </c>
      <c r="AK373" s="427">
        <f>Grig1!K19</f>
        <v>2</v>
      </c>
      <c r="AL373" s="428">
        <f>Grig1!L19</f>
        <v>2</v>
      </c>
      <c r="AM373" s="420">
        <f t="shared" si="29"/>
        <v>0</v>
      </c>
      <c r="AN373" s="430">
        <f>AK373/VLOOKUP($O373,НаселГлавы!$A$1:$B$29,2,0)*10000</f>
        <v>0.6968641114982579</v>
      </c>
      <c r="AO373" s="426">
        <f>AL373/VLOOKUP($O373,НаселГлавы!$A$1:$B$29,2,0)*10000</f>
        <v>0.6968641114982579</v>
      </c>
      <c r="AP373" s="429">
        <f t="shared" si="30"/>
        <v>0</v>
      </c>
    </row>
    <row r="374" spans="14:42" ht="12.75">
      <c r="N374" s="324">
        <v>6</v>
      </c>
      <c r="O374" s="415" t="s">
        <v>26</v>
      </c>
      <c r="P374" s="416">
        <f>'На 10 тыс'!B10</f>
        <v>80</v>
      </c>
      <c r="Q374" s="417">
        <f>'На 10 тыс'!C10</f>
        <v>74</v>
      </c>
      <c r="R374" s="418">
        <f t="shared" si="22"/>
        <v>0.08108108108108113</v>
      </c>
      <c r="S374" s="419">
        <f>'На 10 тыс'!E10</f>
        <v>5282250</v>
      </c>
      <c r="T374" s="417">
        <f>'На 10 тыс'!F10</f>
        <v>3651500</v>
      </c>
      <c r="U374" s="420">
        <f t="shared" si="23"/>
        <v>0.44659728878543065</v>
      </c>
      <c r="V374" s="421">
        <f>'На 10 тыс'!H10</f>
        <v>9.471490812653911</v>
      </c>
      <c r="W374" s="417">
        <f>'На 10 тыс'!I10</f>
        <v>8.761129001704868</v>
      </c>
      <c r="X374" s="418">
        <f t="shared" si="24"/>
        <v>0.08108108108108113</v>
      </c>
      <c r="Y374" s="422">
        <f>'На 10 тыс'!K10</f>
        <v>66028.125</v>
      </c>
      <c r="Z374" s="423">
        <f>'На 10 тыс'!L10</f>
        <v>49344.59459459459</v>
      </c>
      <c r="AA374" s="420">
        <f t="shared" si="25"/>
        <v>0.3381024921265234</v>
      </c>
      <c r="AB374" s="421">
        <f>'На 10 тыс'!N10</f>
        <v>62.53847793142641</v>
      </c>
      <c r="AC374" s="424">
        <f>'На 10 тыс'!O10</f>
        <v>43.2314358780072</v>
      </c>
      <c r="AD374" s="418">
        <f t="shared" si="26"/>
        <v>0.44659728878543065</v>
      </c>
      <c r="AE374" s="419">
        <f>'На 10 тыс'!Q10</f>
        <v>13</v>
      </c>
      <c r="AF374" s="417">
        <f>'На 10 тыс'!R10</f>
        <v>9</v>
      </c>
      <c r="AG374" s="420">
        <f t="shared" si="27"/>
        <v>0.4444444444444446</v>
      </c>
      <c r="AH374" s="430">
        <f>AE374/VLOOKUP($O374,НаселГлавы!$A$1:$B$29,2,0)*10000</f>
        <v>2.594810379241517</v>
      </c>
      <c r="AI374" s="426">
        <f>AF374/VLOOKUP($O374,НаселГлавы!$A$1:$B$29,2,0)*10000</f>
        <v>1.7964071856287425</v>
      </c>
      <c r="AJ374" s="418">
        <f t="shared" si="28"/>
        <v>0.4444444444444446</v>
      </c>
      <c r="AK374" s="427">
        <f>Grig1!K22</f>
        <v>9</v>
      </c>
      <c r="AL374" s="428">
        <f>Grig1!L22</f>
        <v>3</v>
      </c>
      <c r="AM374" s="420">
        <f t="shared" si="29"/>
        <v>2</v>
      </c>
      <c r="AN374" s="430">
        <f>AK374/VLOOKUP($O374,НаселГлавы!$A$1:$B$29,2,0)*10000</f>
        <v>1.7964071856287425</v>
      </c>
      <c r="AO374" s="426">
        <f>AL374/VLOOKUP($O374,НаселГлавы!$A$1:$B$29,2,0)*10000</f>
        <v>0.5988023952095808</v>
      </c>
      <c r="AP374" s="429">
        <f t="shared" si="30"/>
        <v>2</v>
      </c>
    </row>
    <row r="375" spans="14:42" ht="12.75">
      <c r="N375" s="324">
        <v>7</v>
      </c>
      <c r="O375" s="415" t="s">
        <v>28</v>
      </c>
      <c r="P375" s="416">
        <f>'На 10 тыс'!B11</f>
        <v>28</v>
      </c>
      <c r="Q375" s="417">
        <f>'На 10 тыс'!C11</f>
        <v>29</v>
      </c>
      <c r="R375" s="418">
        <f t="shared" si="22"/>
        <v>-0.03448275862068968</v>
      </c>
      <c r="S375" s="419">
        <f>'На 10 тыс'!E11</f>
        <v>6549623</v>
      </c>
      <c r="T375" s="417">
        <f>'На 10 тыс'!F11</f>
        <v>1344000</v>
      </c>
      <c r="U375" s="420">
        <f t="shared" si="23"/>
        <v>3.873231398809524</v>
      </c>
      <c r="V375" s="421">
        <f>'На 10 тыс'!H11</f>
        <v>13.212533031332578</v>
      </c>
      <c r="W375" s="417">
        <f>'На 10 тыс'!I11</f>
        <v>13.684409211023027</v>
      </c>
      <c r="X375" s="418">
        <f t="shared" si="24"/>
        <v>-0.03448275862068968</v>
      </c>
      <c r="Y375" s="422">
        <f>'На 10 тыс'!K11</f>
        <v>233915.10714285713</v>
      </c>
      <c r="Z375" s="423">
        <f>'На 10 тыс'!L11</f>
        <v>46344.8275862069</v>
      </c>
      <c r="AA375" s="420">
        <f t="shared" si="25"/>
        <v>4.047275377338434</v>
      </c>
      <c r="AB375" s="421">
        <f>'На 10 тыс'!N11</f>
        <v>309.0611079652699</v>
      </c>
      <c r="AC375" s="424">
        <f>'На 10 тыс'!O11</f>
        <v>63.42015855039637</v>
      </c>
      <c r="AD375" s="418">
        <f t="shared" si="26"/>
        <v>3.873231398809524</v>
      </c>
      <c r="AE375" s="419">
        <f>'На 10 тыс'!Q11</f>
        <v>1</v>
      </c>
      <c r="AF375" s="417">
        <f>'На 10 тыс'!R11</f>
        <v>2</v>
      </c>
      <c r="AG375" s="420">
        <f t="shared" si="27"/>
        <v>-0.5</v>
      </c>
      <c r="AH375" s="430">
        <f>AE375/VLOOKUP($O375,НаселГлавы!$A$1:$B$29,2,0)*10000</f>
        <v>0.3663003663003663</v>
      </c>
      <c r="AI375" s="426">
        <f>AF375/VLOOKUP($O375,НаселГлавы!$A$1:$B$29,2,0)*10000</f>
        <v>0.7326007326007326</v>
      </c>
      <c r="AJ375" s="418">
        <f t="shared" si="28"/>
        <v>-0.5</v>
      </c>
      <c r="AK375" s="427">
        <f>Grig1!K24</f>
        <v>1</v>
      </c>
      <c r="AL375" s="428">
        <f>Grig1!L24</f>
        <v>0</v>
      </c>
      <c r="AM375" s="420" t="str">
        <f t="shared" si="29"/>
        <v>--</v>
      </c>
      <c r="AN375" s="430">
        <f>AK375/VLOOKUP($O375,НаселГлавы!$A$1:$B$29,2,0)*10000</f>
        <v>0.3663003663003663</v>
      </c>
      <c r="AO375" s="426">
        <f>AL375/VLOOKUP($O375,НаселГлавы!$A$1:$B$29,2,0)*10000</f>
        <v>0</v>
      </c>
      <c r="AP375" s="429" t="str">
        <f t="shared" si="30"/>
        <v>--</v>
      </c>
    </row>
    <row r="376" spans="14:42" ht="12.75">
      <c r="N376" s="324">
        <v>8</v>
      </c>
      <c r="O376" s="415" t="s">
        <v>30</v>
      </c>
      <c r="P376" s="416">
        <f>'На 10 тыс'!B12</f>
        <v>20</v>
      </c>
      <c r="Q376" s="417">
        <f>'На 10 тыс'!C12</f>
        <v>25</v>
      </c>
      <c r="R376" s="418">
        <f t="shared" si="22"/>
        <v>-0.2</v>
      </c>
      <c r="S376" s="419">
        <f>'На 10 тыс'!E12</f>
        <v>1363500</v>
      </c>
      <c r="T376" s="417">
        <f>'На 10 тыс'!F12</f>
        <v>705651</v>
      </c>
      <c r="U376" s="420">
        <f t="shared" si="23"/>
        <v>0.9322582976570569</v>
      </c>
      <c r="V376" s="421">
        <f>'На 10 тыс'!H12</f>
        <v>7.512301393531908</v>
      </c>
      <c r="W376" s="417">
        <f>'На 10 тыс'!I12</f>
        <v>9.390376741914885</v>
      </c>
      <c r="X376" s="418">
        <f t="shared" si="24"/>
        <v>-0.2</v>
      </c>
      <c r="Y376" s="422">
        <f>'На 10 тыс'!K12</f>
        <v>68175</v>
      </c>
      <c r="Z376" s="423">
        <f>'На 10 тыс'!L12</f>
        <v>28226.04</v>
      </c>
      <c r="AA376" s="420">
        <f t="shared" si="25"/>
        <v>1.4153228720713213</v>
      </c>
      <c r="AB376" s="421">
        <f>'На 10 тыс'!N12</f>
        <v>51.215114750403785</v>
      </c>
      <c r="AC376" s="424">
        <f>'На 10 тыс'!O12</f>
        <v>26.505314953235924</v>
      </c>
      <c r="AD376" s="418">
        <f t="shared" si="26"/>
        <v>0.9322582976570569</v>
      </c>
      <c r="AE376" s="419">
        <f>'На 10 тыс'!Q12</f>
        <v>1</v>
      </c>
      <c r="AF376" s="417">
        <f>'На 10 тыс'!R12</f>
        <v>5</v>
      </c>
      <c r="AG376" s="420">
        <f t="shared" si="27"/>
        <v>-0.8</v>
      </c>
      <c r="AH376" s="430">
        <f>AE376/VLOOKUP($O376,НаселГлавы!$A$1:$B$29,2,0)*10000</f>
        <v>0.3597122302158273</v>
      </c>
      <c r="AI376" s="426">
        <f>AF376/VLOOKUP($O376,НаселГлавы!$A$1:$B$29,2,0)*10000</f>
        <v>1.7985611510791368</v>
      </c>
      <c r="AJ376" s="418">
        <f t="shared" si="28"/>
        <v>-0.8</v>
      </c>
      <c r="AK376" s="427">
        <f>Grig1!K26</f>
        <v>0</v>
      </c>
      <c r="AL376" s="428">
        <f>Grig1!L26</f>
        <v>0</v>
      </c>
      <c r="AM376" s="420" t="str">
        <f t="shared" si="29"/>
        <v>--</v>
      </c>
      <c r="AN376" s="430">
        <f>AK376/VLOOKUP($O376,НаселГлавы!$A$1:$B$29,2,0)*10000</f>
        <v>0</v>
      </c>
      <c r="AO376" s="426">
        <f>AL376/VLOOKUP($O376,НаселГлавы!$A$1:$B$29,2,0)*10000</f>
        <v>0</v>
      </c>
      <c r="AP376" s="429" t="str">
        <f t="shared" si="30"/>
        <v>--</v>
      </c>
    </row>
    <row r="377" spans="14:42" ht="12.75">
      <c r="N377" s="324">
        <v>9</v>
      </c>
      <c r="O377" s="415" t="s">
        <v>32</v>
      </c>
      <c r="P377" s="416">
        <f>'На 10 тыс'!B13</f>
        <v>15</v>
      </c>
      <c r="Q377" s="417">
        <f>'На 10 тыс'!C13</f>
        <v>26</v>
      </c>
      <c r="R377" s="418">
        <f t="shared" si="22"/>
        <v>-0.4230769230769231</v>
      </c>
      <c r="S377" s="419">
        <f>'На 10 тыс'!E13</f>
        <v>638500</v>
      </c>
      <c r="T377" s="417">
        <f>'На 10 тыс'!F13</f>
        <v>1488804</v>
      </c>
      <c r="U377" s="420">
        <f t="shared" si="23"/>
        <v>-0.5711322645559792</v>
      </c>
      <c r="V377" s="421">
        <f>'На 10 тыс'!H13</f>
        <v>9.641342074816814</v>
      </c>
      <c r="W377" s="417">
        <f>'На 10 тыс'!I13</f>
        <v>16.711659596349147</v>
      </c>
      <c r="X377" s="418">
        <f t="shared" si="24"/>
        <v>-0.42307692307692313</v>
      </c>
      <c r="Y377" s="422">
        <f>'На 10 тыс'!K13</f>
        <v>42566.666666666664</v>
      </c>
      <c r="Z377" s="423">
        <f>'На 10 тыс'!L13</f>
        <v>57261.692307692305</v>
      </c>
      <c r="AA377" s="420">
        <f t="shared" si="25"/>
        <v>-0.2566292585636972</v>
      </c>
      <c r="AB377" s="421">
        <f>'На 10 тыс'!N13</f>
        <v>41.03997943180357</v>
      </c>
      <c r="AC377" s="424">
        <f>'На 10 тыс'!O13</f>
        <v>95.69379097570382</v>
      </c>
      <c r="AD377" s="418">
        <f t="shared" si="26"/>
        <v>-0.5711322645559791</v>
      </c>
      <c r="AE377" s="419">
        <f>'На 10 тыс'!Q13</f>
        <v>1</v>
      </c>
      <c r="AF377" s="417">
        <f>'На 10 тыс'!R13</f>
        <v>3</v>
      </c>
      <c r="AG377" s="420">
        <f t="shared" si="27"/>
        <v>-0.6666666666666665</v>
      </c>
      <c r="AH377" s="430">
        <f>AE377/VLOOKUP($O377,НаселГлавы!$A$1:$B$29,2,0)*10000</f>
        <v>0.5319148936170213</v>
      </c>
      <c r="AI377" s="426">
        <f>AF377/VLOOKUP($O377,НаселГлавы!$A$1:$B$29,2,0)*10000</f>
        <v>1.5957446808510638</v>
      </c>
      <c r="AJ377" s="418">
        <f t="shared" si="28"/>
        <v>-0.6666666666666665</v>
      </c>
      <c r="AK377" s="427">
        <f>Grig1!K28</f>
        <v>1</v>
      </c>
      <c r="AL377" s="428">
        <f>Grig1!L28</f>
        <v>1</v>
      </c>
      <c r="AM377" s="420">
        <f t="shared" si="29"/>
        <v>0</v>
      </c>
      <c r="AN377" s="430">
        <f>AK377/VLOOKUP($O377,НаселГлавы!$A$1:$B$29,2,0)*10000</f>
        <v>0.5319148936170213</v>
      </c>
      <c r="AO377" s="426">
        <f>AL377/VLOOKUP($O377,НаселГлавы!$A$1:$B$29,2,0)*10000</f>
        <v>0.5319148936170213</v>
      </c>
      <c r="AP377" s="429">
        <f t="shared" si="30"/>
        <v>0</v>
      </c>
    </row>
    <row r="378" spans="14:42" ht="12.75">
      <c r="N378" s="324">
        <v>10</v>
      </c>
      <c r="O378" s="415" t="s">
        <v>34</v>
      </c>
      <c r="P378" s="416">
        <f>'На 10 тыс'!B14</f>
        <v>38</v>
      </c>
      <c r="Q378" s="417">
        <f>'На 10 тыс'!C14</f>
        <v>30</v>
      </c>
      <c r="R378" s="418">
        <f t="shared" si="22"/>
        <v>0.2666666666666667</v>
      </c>
      <c r="S378" s="419">
        <f>'На 10 тыс'!E14</f>
        <v>2475000</v>
      </c>
      <c r="T378" s="417">
        <f>'На 10 тыс'!F14</f>
        <v>1663500</v>
      </c>
      <c r="U378" s="420">
        <f t="shared" si="23"/>
        <v>0.48782687105500455</v>
      </c>
      <c r="V378" s="421">
        <f>'На 10 тыс'!H14</f>
        <v>22.978774868476748</v>
      </c>
      <c r="W378" s="417">
        <f>'На 10 тыс'!I14</f>
        <v>18.14113805406059</v>
      </c>
      <c r="X378" s="418">
        <f t="shared" si="24"/>
        <v>0.2666666666666667</v>
      </c>
      <c r="Y378" s="422">
        <f>'На 10 тыс'!K14</f>
        <v>65131.57894736842</v>
      </c>
      <c r="Z378" s="423">
        <f>'На 10 тыс'!L14</f>
        <v>55450</v>
      </c>
      <c r="AA378" s="420">
        <f t="shared" si="25"/>
        <v>0.17460016135921408</v>
      </c>
      <c r="AB378" s="421">
        <f>'На 10 тыс'!N14</f>
        <v>149.6643889459999</v>
      </c>
      <c r="AC378" s="424">
        <f>'На 10 тыс'!O14</f>
        <v>100.59261050976598</v>
      </c>
      <c r="AD378" s="418">
        <f t="shared" si="26"/>
        <v>0.48782687105500455</v>
      </c>
      <c r="AE378" s="419">
        <f>'На 10 тыс'!Q14</f>
        <v>1</v>
      </c>
      <c r="AF378" s="417">
        <f>'На 10 тыс'!R14</f>
        <v>7</v>
      </c>
      <c r="AG378" s="420">
        <f t="shared" si="27"/>
        <v>-0.8571428571428571</v>
      </c>
      <c r="AH378" s="430">
        <f>AE378/VLOOKUP($O378,НаселГлавы!$A$1:$B$29,2,0)*10000</f>
        <v>0.4291845493562232</v>
      </c>
      <c r="AI378" s="426">
        <f>AF378/VLOOKUP($O378,НаселГлавы!$A$1:$B$29,2,0)*10000</f>
        <v>3.004291845493562</v>
      </c>
      <c r="AJ378" s="418">
        <f t="shared" si="28"/>
        <v>-0.8571428571428571</v>
      </c>
      <c r="AK378" s="427">
        <f>Grig1!K30</f>
        <v>0</v>
      </c>
      <c r="AL378" s="428">
        <f>Grig1!L30</f>
        <v>2</v>
      </c>
      <c r="AM378" s="420">
        <f t="shared" si="29"/>
        <v>-1</v>
      </c>
      <c r="AN378" s="430">
        <f>AK378/VLOOKUP($O378,НаселГлавы!$A$1:$B$29,2,0)*10000</f>
        <v>0</v>
      </c>
      <c r="AO378" s="426">
        <f>AL378/VLOOKUP($O378,НаселГлавы!$A$1:$B$29,2,0)*10000</f>
        <v>0.8583690987124464</v>
      </c>
      <c r="AP378" s="429">
        <f t="shared" si="30"/>
        <v>-1</v>
      </c>
    </row>
    <row r="379" spans="14:42" ht="12.75">
      <c r="N379" s="324">
        <v>11</v>
      </c>
      <c r="O379" s="415" t="s">
        <v>36</v>
      </c>
      <c r="P379" s="416">
        <f>'На 10 тыс'!B15</f>
        <v>36</v>
      </c>
      <c r="Q379" s="417">
        <f>'На 10 тыс'!C15</f>
        <v>38</v>
      </c>
      <c r="R379" s="418">
        <f t="shared" si="22"/>
        <v>-0.052631578947368356</v>
      </c>
      <c r="S379" s="419">
        <f>'На 10 тыс'!E15</f>
        <v>3066000</v>
      </c>
      <c r="T379" s="417">
        <f>'На 10 тыс'!F15</f>
        <v>2848400</v>
      </c>
      <c r="U379" s="420">
        <f t="shared" si="23"/>
        <v>0.07639376492065722</v>
      </c>
      <c r="V379" s="421">
        <f>'На 10 тыс'!H15</f>
        <v>15.153428463189798</v>
      </c>
      <c r="W379" s="417">
        <f>'На 10 тыс'!I15</f>
        <v>15.995285600033675</v>
      </c>
      <c r="X379" s="418">
        <f t="shared" si="24"/>
        <v>-0.052631578947368356</v>
      </c>
      <c r="Y379" s="422">
        <f>'На 10 тыс'!K15</f>
        <v>85166.66666666667</v>
      </c>
      <c r="Z379" s="423">
        <f>'На 10 тыс'!L15</f>
        <v>74957.8947368421</v>
      </c>
      <c r="AA379" s="420">
        <f t="shared" si="25"/>
        <v>0.13619341852736055</v>
      </c>
      <c r="AB379" s="421">
        <f>'На 10 тыс'!N15</f>
        <v>129.05669907816645</v>
      </c>
      <c r="AC379" s="424">
        <f>'На 10 тыс'!O15</f>
        <v>119.89729342930505</v>
      </c>
      <c r="AD379" s="418">
        <f t="shared" si="26"/>
        <v>0.07639376492065722</v>
      </c>
      <c r="AE379" s="419">
        <f>'На 10 тыс'!Q15</f>
        <v>5</v>
      </c>
      <c r="AF379" s="417">
        <f>'На 10 тыс'!R15</f>
        <v>4</v>
      </c>
      <c r="AG379" s="420">
        <f t="shared" si="27"/>
        <v>0.25</v>
      </c>
      <c r="AH379" s="430">
        <f>AE379/VLOOKUP($O379,НаселГлавы!$A$1:$B$29,2,0)*10000</f>
        <v>1.773049645390071</v>
      </c>
      <c r="AI379" s="426">
        <f>AF379/VLOOKUP($O379,НаселГлавы!$A$1:$B$29,2,0)*10000</f>
        <v>1.4184397163120568</v>
      </c>
      <c r="AJ379" s="418">
        <f t="shared" si="28"/>
        <v>0.25</v>
      </c>
      <c r="AK379" s="427">
        <f>Grig1!K32</f>
        <v>0</v>
      </c>
      <c r="AL379" s="428">
        <f>Grig1!L32</f>
        <v>3</v>
      </c>
      <c r="AM379" s="420">
        <f t="shared" si="29"/>
        <v>-1</v>
      </c>
      <c r="AN379" s="430">
        <f>AK379/VLOOKUP($O379,НаселГлавы!$A$1:$B$29,2,0)*10000</f>
        <v>0</v>
      </c>
      <c r="AO379" s="426">
        <f>AL379/VLOOKUP($O379,НаселГлавы!$A$1:$B$29,2,0)*10000</f>
        <v>1.0638297872340425</v>
      </c>
      <c r="AP379" s="429">
        <f t="shared" si="30"/>
        <v>-1</v>
      </c>
    </row>
    <row r="380" spans="14:42" ht="12.75">
      <c r="N380" s="324">
        <v>12</v>
      </c>
      <c r="O380" s="415" t="s">
        <v>38</v>
      </c>
      <c r="P380" s="416">
        <f>'На 10 тыс'!B16</f>
        <v>37</v>
      </c>
      <c r="Q380" s="417">
        <f>'На 10 тыс'!C16</f>
        <v>34</v>
      </c>
      <c r="R380" s="418">
        <f t="shared" si="22"/>
        <v>0.0882352941176471</v>
      </c>
      <c r="S380" s="419">
        <f>'На 10 тыс'!E16</f>
        <v>1937300</v>
      </c>
      <c r="T380" s="417">
        <f>'На 10 тыс'!F16</f>
        <v>1674620</v>
      </c>
      <c r="U380" s="420">
        <f t="shared" si="23"/>
        <v>0.15685946662526418</v>
      </c>
      <c r="V380" s="421">
        <f>'На 10 тыс'!H16</f>
        <v>10.69086075876217</v>
      </c>
      <c r="W380" s="417">
        <f>'На 10 тыс'!I16</f>
        <v>9.824034210754427</v>
      </c>
      <c r="X380" s="418">
        <f t="shared" si="24"/>
        <v>0.08823529411764695</v>
      </c>
      <c r="Y380" s="422">
        <f>'На 10 тыс'!K16</f>
        <v>52359.45945945946</v>
      </c>
      <c r="Z380" s="423">
        <f>'На 10 тыс'!L16</f>
        <v>49253.529411764706</v>
      </c>
      <c r="AA380" s="420">
        <f t="shared" si="25"/>
        <v>0.06306005041240483</v>
      </c>
      <c r="AB380" s="421">
        <f>'На 10 тыс'!N16</f>
        <v>55.97676904851339</v>
      </c>
      <c r="AC380" s="424">
        <f>'На 10 тыс'!O16</f>
        <v>48.38683579415759</v>
      </c>
      <c r="AD380" s="418">
        <f t="shared" si="26"/>
        <v>0.15685946662526404</v>
      </c>
      <c r="AE380" s="419">
        <f>'На 10 тыс'!Q16</f>
        <v>7</v>
      </c>
      <c r="AF380" s="417">
        <f>'На 10 тыс'!R16</f>
        <v>5</v>
      </c>
      <c r="AG380" s="420">
        <f t="shared" si="27"/>
        <v>0.4</v>
      </c>
      <c r="AH380" s="430">
        <f>AE380/VLOOKUP($O380,НаселГлавы!$A$1:$B$29,2,0)*10000</f>
        <v>1.856763925729443</v>
      </c>
      <c r="AI380" s="426">
        <f>AF380/VLOOKUP($O380,НаселГлавы!$A$1:$B$29,2,0)*10000</f>
        <v>1.326259946949602</v>
      </c>
      <c r="AJ380" s="418">
        <f t="shared" si="28"/>
        <v>0.4000000000000003</v>
      </c>
      <c r="AK380" s="427">
        <f>Grig1!K34</f>
        <v>2</v>
      </c>
      <c r="AL380" s="428">
        <f>Grig1!L34</f>
        <v>2</v>
      </c>
      <c r="AM380" s="420">
        <f t="shared" si="29"/>
        <v>0</v>
      </c>
      <c r="AN380" s="430">
        <f>AK380/VLOOKUP($O380,НаселГлавы!$A$1:$B$29,2,0)*10000</f>
        <v>0.5305039787798409</v>
      </c>
      <c r="AO380" s="426">
        <f>AL380/VLOOKUP($O380,НаселГлавы!$A$1:$B$29,2,0)*10000</f>
        <v>0.5305039787798409</v>
      </c>
      <c r="AP380" s="429">
        <f t="shared" si="30"/>
        <v>0</v>
      </c>
    </row>
    <row r="381" spans="14:42" ht="12.75">
      <c r="N381" s="324">
        <v>13</v>
      </c>
      <c r="O381" s="431" t="s">
        <v>41</v>
      </c>
      <c r="P381" s="416">
        <f>'На 10 тыс'!B17</f>
        <v>41</v>
      </c>
      <c r="Q381" s="417">
        <f>'На 10 тыс'!C17</f>
        <v>49</v>
      </c>
      <c r="R381" s="418">
        <f t="shared" si="22"/>
        <v>-0.16326530612244894</v>
      </c>
      <c r="S381" s="419">
        <f>'На 10 тыс'!E17</f>
        <v>1006600</v>
      </c>
      <c r="T381" s="417">
        <f>'На 10 тыс'!F17</f>
        <v>1958963</v>
      </c>
      <c r="U381" s="420">
        <f t="shared" si="23"/>
        <v>-0.48615670637985503</v>
      </c>
      <c r="V381" s="421">
        <f>'На 10 тыс'!H17</f>
        <v>3.296933048135222</v>
      </c>
      <c r="W381" s="417">
        <f>'На 10 тыс'!I17</f>
        <v>3.940237057527461</v>
      </c>
      <c r="X381" s="418">
        <f t="shared" si="24"/>
        <v>-0.16326530612244894</v>
      </c>
      <c r="Y381" s="422">
        <f>'На 10 тыс'!K17</f>
        <v>24551.219512195123</v>
      </c>
      <c r="Z381" s="423">
        <f>'На 10 тыс'!L17</f>
        <v>39978.836734693876</v>
      </c>
      <c r="AA381" s="420">
        <f aca="true" t="shared" si="31" ref="AA381:AA389">IF(Z381=0,"--",(((Y381*100)/Z381)-100)/100)</f>
        <v>-0.3858946003076316</v>
      </c>
      <c r="AB381" s="421">
        <f>'На 10 тыс'!N17</f>
        <v>8.09437269817784</v>
      </c>
      <c r="AC381" s="424">
        <f>'На 10 тыс'!O17</f>
        <v>15.752609401888098</v>
      </c>
      <c r="AD381" s="418">
        <f t="shared" si="26"/>
        <v>-0.4861567063798551</v>
      </c>
      <c r="AE381" s="419">
        <f>'На 10 тыс'!Q17</f>
        <v>0</v>
      </c>
      <c r="AF381" s="417">
        <f>'На 10 тыс'!R17</f>
        <v>2</v>
      </c>
      <c r="AG381" s="420">
        <f t="shared" si="27"/>
        <v>-1</v>
      </c>
      <c r="AH381" s="430">
        <f>AE381/VLOOKUP($O381,НаселГлавы!$A$1:$B$29,2,0)*10000</f>
        <v>0</v>
      </c>
      <c r="AI381" s="426">
        <f>AF381/VLOOKUP($O381,НаселГлавы!$A$1:$B$29,2,0)*10000</f>
        <v>0.15661707126076743</v>
      </c>
      <c r="AJ381" s="418">
        <f t="shared" si="28"/>
        <v>-1</v>
      </c>
      <c r="AK381" s="427">
        <f>Grig1!K37</f>
        <v>8</v>
      </c>
      <c r="AL381" s="428">
        <f>Grig1!L37</f>
        <v>9</v>
      </c>
      <c r="AM381" s="420">
        <f t="shared" si="29"/>
        <v>-0.11111111111111115</v>
      </c>
      <c r="AN381" s="430">
        <f>AK381/VLOOKUP($O381,НаселГлавы!$A$1:$B$29,2,0)*10000</f>
        <v>0.6264682850430697</v>
      </c>
      <c r="AO381" s="426">
        <f>AL381/VLOOKUP($O381,НаселГлавы!$A$1:$B$29,2,0)*10000</f>
        <v>0.7047768206734534</v>
      </c>
      <c r="AP381" s="429">
        <f t="shared" si="30"/>
        <v>-0.111111111111111</v>
      </c>
    </row>
    <row r="382" spans="14:42" ht="12.75">
      <c r="N382" s="324">
        <v>14</v>
      </c>
      <c r="O382" s="415" t="s">
        <v>42</v>
      </c>
      <c r="P382" s="416">
        <f>'На 10 тыс'!B18</f>
        <v>21</v>
      </c>
      <c r="Q382" s="417">
        <f>'На 10 тыс'!C18</f>
        <v>19</v>
      </c>
      <c r="R382" s="418">
        <f t="shared" si="22"/>
        <v>0.10526315789473685</v>
      </c>
      <c r="S382" s="419">
        <f>'На 10 тыс'!E18</f>
        <v>2113500</v>
      </c>
      <c r="T382" s="417">
        <f>'На 10 тыс'!F18</f>
        <v>897200</v>
      </c>
      <c r="U382" s="420">
        <f t="shared" si="23"/>
        <v>1.3556620597414177</v>
      </c>
      <c r="V382" s="421">
        <f>'На 10 тыс'!H18</f>
        <v>15.446855461566752</v>
      </c>
      <c r="W382" s="417">
        <f>'На 10 тыс'!I18</f>
        <v>13.975726369988967</v>
      </c>
      <c r="X382" s="418">
        <f t="shared" si="24"/>
        <v>0.10526315789473671</v>
      </c>
      <c r="Y382" s="422">
        <f>'На 10 тыс'!K18</f>
        <v>100642.85714285714</v>
      </c>
      <c r="Z382" s="423">
        <f>'На 10 тыс'!L18</f>
        <v>47221.05263157895</v>
      </c>
      <c r="AA382" s="420">
        <f t="shared" si="31"/>
        <v>1.1313132921469973</v>
      </c>
      <c r="AB382" s="421">
        <f>'На 10 тыс'!N18</f>
        <v>155.46156675248253</v>
      </c>
      <c r="AC382" s="424">
        <f>'На 10 тыс'!O18</f>
        <v>65.99485104817948</v>
      </c>
      <c r="AD382" s="418">
        <f t="shared" si="26"/>
        <v>1.3556620597414175</v>
      </c>
      <c r="AE382" s="419">
        <f>'На 10 тыс'!Q18</f>
        <v>4</v>
      </c>
      <c r="AF382" s="417">
        <f>'На 10 тыс'!R18</f>
        <v>3</v>
      </c>
      <c r="AG382" s="420">
        <f t="shared" si="27"/>
        <v>0.3333333333333334</v>
      </c>
      <c r="AH382" s="430">
        <f>AE382/VLOOKUP($O382,НаселГлавы!$A$1:$B$29,2,0)*10000</f>
        <v>2.094240837696335</v>
      </c>
      <c r="AI382" s="426">
        <f>AF382/VLOOKUP($O382,НаселГлавы!$A$1:$B$29,2,0)*10000</f>
        <v>1.5706806282722512</v>
      </c>
      <c r="AJ382" s="418">
        <f t="shared" si="28"/>
        <v>0.3333333333333334</v>
      </c>
      <c r="AK382" s="427">
        <f>Grig1!K38</f>
        <v>0</v>
      </c>
      <c r="AL382" s="428">
        <f>Grig1!L38</f>
        <v>2</v>
      </c>
      <c r="AM382" s="420">
        <f t="shared" si="29"/>
        <v>-1</v>
      </c>
      <c r="AN382" s="430">
        <f>AK382/VLOOKUP($O382,НаселГлавы!$A$1:$B$29,2,0)*10000</f>
        <v>0</v>
      </c>
      <c r="AO382" s="426">
        <f>AL382/VLOOKUP($O382,НаселГлавы!$A$1:$B$29,2,0)*10000</f>
        <v>1.0471204188481675</v>
      </c>
      <c r="AP382" s="429">
        <f t="shared" si="30"/>
        <v>-1</v>
      </c>
    </row>
    <row r="383" spans="14:42" ht="12.75">
      <c r="N383" s="324">
        <v>15</v>
      </c>
      <c r="O383" s="415" t="s">
        <v>44</v>
      </c>
      <c r="P383" s="416">
        <f>'На 10 тыс'!B19</f>
        <v>24</v>
      </c>
      <c r="Q383" s="417">
        <f>'На 10 тыс'!C19</f>
        <v>33</v>
      </c>
      <c r="R383" s="418">
        <f t="shared" si="22"/>
        <v>-0.27272727272727265</v>
      </c>
      <c r="S383" s="419">
        <f>'На 10 тыс'!E19</f>
        <v>1185000</v>
      </c>
      <c r="T383" s="417">
        <f>'На 10 тыс'!F19</f>
        <v>3056400</v>
      </c>
      <c r="U383" s="420">
        <f t="shared" si="23"/>
        <v>-0.6122889674126423</v>
      </c>
      <c r="V383" s="421">
        <f>'На 10 тыс'!H19</f>
        <v>9.694619486185168</v>
      </c>
      <c r="W383" s="417">
        <f>'На 10 тыс'!I19</f>
        <v>13.330101793504603</v>
      </c>
      <c r="X383" s="418">
        <f t="shared" si="24"/>
        <v>-0.27272727272727265</v>
      </c>
      <c r="Y383" s="422">
        <f>'На 10 тыс'!K19</f>
        <v>49375</v>
      </c>
      <c r="Z383" s="423">
        <f>'На 10 тыс'!L19</f>
        <v>92618.18181818182</v>
      </c>
      <c r="AA383" s="420">
        <f t="shared" si="31"/>
        <v>-0.4668973301923833</v>
      </c>
      <c r="AB383" s="421">
        <f>'На 10 тыс'!N19</f>
        <v>47.86718371303926</v>
      </c>
      <c r="AC383" s="424">
        <f>'На 10 тыс'!O19</f>
        <v>123.4609791565681</v>
      </c>
      <c r="AD383" s="418">
        <f t="shared" si="26"/>
        <v>-0.6122889674126424</v>
      </c>
      <c r="AE383" s="419">
        <f>'На 10 тыс'!Q19</f>
        <v>7</v>
      </c>
      <c r="AF383" s="417">
        <f>'На 10 тыс'!R19</f>
        <v>2</v>
      </c>
      <c r="AG383" s="420">
        <f t="shared" si="27"/>
        <v>2.5</v>
      </c>
      <c r="AH383" s="430">
        <f>AE383/VLOOKUP($O383,НаселГлавы!$A$1:$B$29,2,0)*10000</f>
        <v>2.4054982817869415</v>
      </c>
      <c r="AI383" s="426">
        <f>AF383/VLOOKUP($O383,НаселГлавы!$A$1:$B$29,2,0)*10000</f>
        <v>0.6872852233676975</v>
      </c>
      <c r="AJ383" s="418">
        <f t="shared" si="28"/>
        <v>2.5000000000000004</v>
      </c>
      <c r="AK383" s="427">
        <f>Grig1!K40</f>
        <v>0</v>
      </c>
      <c r="AL383" s="428">
        <f>Grig1!L40</f>
        <v>1</v>
      </c>
      <c r="AM383" s="420">
        <f t="shared" si="29"/>
        <v>-1</v>
      </c>
      <c r="AN383" s="430">
        <f>AK383/VLOOKUP($O383,НаселГлавы!$A$1:$B$29,2,0)*10000</f>
        <v>0</v>
      </c>
      <c r="AO383" s="426">
        <f>AL383/VLOOKUP($O383,НаселГлавы!$A$1:$B$29,2,0)*10000</f>
        <v>0.34364261168384874</v>
      </c>
      <c r="AP383" s="429">
        <f t="shared" si="30"/>
        <v>-1</v>
      </c>
    </row>
    <row r="384" spans="14:42" ht="12.75">
      <c r="N384" s="324">
        <v>16</v>
      </c>
      <c r="O384" s="415" t="s">
        <v>46</v>
      </c>
      <c r="P384" s="416">
        <f>'На 10 тыс'!B20</f>
        <v>52</v>
      </c>
      <c r="Q384" s="417">
        <f>'На 10 тыс'!C20</f>
        <v>38</v>
      </c>
      <c r="R384" s="418">
        <f t="shared" si="22"/>
        <v>0.3684210526315789</v>
      </c>
      <c r="S384" s="419">
        <f>'На 10 тыс'!E20</f>
        <v>3368000</v>
      </c>
      <c r="T384" s="417">
        <f>'На 10 тыс'!F20</f>
        <v>1751500</v>
      </c>
      <c r="U384" s="420">
        <f t="shared" si="23"/>
        <v>0.9229232086782758</v>
      </c>
      <c r="V384" s="421">
        <f>'На 10 тыс'!H20</f>
        <v>14.240722990551827</v>
      </c>
      <c r="W384" s="417">
        <f>'На 10 тыс'!I20</f>
        <v>10.406682185403259</v>
      </c>
      <c r="X384" s="418">
        <f t="shared" si="24"/>
        <v>0.3684210526315789</v>
      </c>
      <c r="Y384" s="422">
        <f>'На 10 тыс'!K20</f>
        <v>64769.230769230766</v>
      </c>
      <c r="Z384" s="423">
        <f>'На 10 тыс'!L20</f>
        <v>46092.10526315789</v>
      </c>
      <c r="AA384" s="420">
        <f t="shared" si="31"/>
        <v>0.4052131140341245</v>
      </c>
      <c r="AB384" s="421">
        <f>'На 10 тыс'!N20</f>
        <v>92.23606736957414</v>
      </c>
      <c r="AC384" s="424">
        <f>'На 10 тыс'!O20</f>
        <v>47.96658907298371</v>
      </c>
      <c r="AD384" s="418">
        <f t="shared" si="26"/>
        <v>0.9229232086782756</v>
      </c>
      <c r="AE384" s="419">
        <f>'На 10 тыс'!Q20</f>
        <v>6</v>
      </c>
      <c r="AF384" s="417">
        <f>'На 10 тыс'!R20</f>
        <v>4</v>
      </c>
      <c r="AG384" s="420">
        <f t="shared" si="27"/>
        <v>0.5</v>
      </c>
      <c r="AH384" s="430">
        <f>AE384/VLOOKUP($O384,НаселГлавы!$A$1:$B$29,2,0)*10000</f>
        <v>1.6129032258064515</v>
      </c>
      <c r="AI384" s="426">
        <f>AF384/VLOOKUP($O384,НаселГлавы!$A$1:$B$29,2,0)*10000</f>
        <v>1.075268817204301</v>
      </c>
      <c r="AJ384" s="418">
        <f t="shared" si="28"/>
        <v>0.5</v>
      </c>
      <c r="AK384" s="427">
        <f>Grig1!K42</f>
        <v>7</v>
      </c>
      <c r="AL384" s="428">
        <f>Grig1!L42</f>
        <v>2</v>
      </c>
      <c r="AM384" s="420">
        <f t="shared" si="29"/>
        <v>2.5</v>
      </c>
      <c r="AN384" s="430">
        <f>AK384/VLOOKUP($O384,НаселГлавы!$A$1:$B$29,2,0)*10000</f>
        <v>1.881720430107527</v>
      </c>
      <c r="AO384" s="426">
        <f>AL384/VLOOKUP($O384,НаселГлавы!$A$1:$B$29,2,0)*10000</f>
        <v>0.5376344086021505</v>
      </c>
      <c r="AP384" s="429">
        <f t="shared" si="30"/>
        <v>2.5000000000000004</v>
      </c>
    </row>
    <row r="385" spans="14:42" ht="12.75">
      <c r="N385" s="324">
        <v>17</v>
      </c>
      <c r="O385" s="415" t="s">
        <v>48</v>
      </c>
      <c r="P385" s="416">
        <f>'На 10 тыс'!B21</f>
        <v>85</v>
      </c>
      <c r="Q385" s="417">
        <f>'На 10 тыс'!C21</f>
        <v>87</v>
      </c>
      <c r="R385" s="418">
        <f t="shared" si="22"/>
        <v>-0.022988505747126454</v>
      </c>
      <c r="S385" s="419">
        <f>'На 10 тыс'!E21</f>
        <v>4954238</v>
      </c>
      <c r="T385" s="417">
        <f>'На 10 тыс'!F21</f>
        <v>4818131</v>
      </c>
      <c r="U385" s="420">
        <f t="shared" si="23"/>
        <v>0.028248920587671904</v>
      </c>
      <c r="V385" s="421">
        <f>'На 10 тыс'!H21</f>
        <v>13.425150835518211</v>
      </c>
      <c r="W385" s="417">
        <f>'На 10 тыс'!I21</f>
        <v>13.741036737530404</v>
      </c>
      <c r="X385" s="418">
        <f t="shared" si="24"/>
        <v>-0.022988505747126454</v>
      </c>
      <c r="Y385" s="422">
        <f>'На 10 тыс'!K21</f>
        <v>58285.15294117647</v>
      </c>
      <c r="Z385" s="423">
        <f>'На 10 тыс'!L21</f>
        <v>55380.816091954024</v>
      </c>
      <c r="AA385" s="420">
        <f t="shared" si="31"/>
        <v>0.052443012836793625</v>
      </c>
      <c r="AB385" s="421">
        <f>'На 10 тыс'!N21</f>
        <v>78.2486969706542</v>
      </c>
      <c r="AC385" s="424">
        <f>'На 10 тыс'!O21</f>
        <v>76.09898284739552</v>
      </c>
      <c r="AD385" s="418">
        <f t="shared" si="26"/>
        <v>0.028248920587671762</v>
      </c>
      <c r="AE385" s="419">
        <f>'На 10 тыс'!Q21</f>
        <v>5</v>
      </c>
      <c r="AF385" s="417">
        <f>'На 10 тыс'!R21</f>
        <v>8</v>
      </c>
      <c r="AG385" s="420">
        <f t="shared" si="27"/>
        <v>-0.375</v>
      </c>
      <c r="AH385" s="430">
        <f>AE385/VLOOKUP($O385,НаселГлавы!$A$1:$B$29,2,0)*10000</f>
        <v>0.8635578583765112</v>
      </c>
      <c r="AI385" s="426">
        <f>AF385/VLOOKUP($O385,НаселГлавы!$A$1:$B$29,2,0)*10000</f>
        <v>1.3816925734024181</v>
      </c>
      <c r="AJ385" s="418">
        <f t="shared" si="28"/>
        <v>-0.37500000000000006</v>
      </c>
      <c r="AK385" s="427">
        <f>Grig1!K44</f>
        <v>7</v>
      </c>
      <c r="AL385" s="428">
        <f>Grig1!L44</f>
        <v>8</v>
      </c>
      <c r="AM385" s="420">
        <f t="shared" si="29"/>
        <v>-0.125</v>
      </c>
      <c r="AN385" s="430">
        <f>AK385/VLOOKUP($O385,НаселГлавы!$A$1:$B$29,2,0)*10000</f>
        <v>1.2089810017271159</v>
      </c>
      <c r="AO385" s="426">
        <f>AL385/VLOOKUP($O385,НаселГлавы!$A$1:$B$29,2,0)*10000</f>
        <v>1.3816925734024181</v>
      </c>
      <c r="AP385" s="429">
        <f t="shared" si="30"/>
        <v>-0.125</v>
      </c>
    </row>
    <row r="386" spans="14:42" ht="12.75">
      <c r="N386" s="324">
        <v>18</v>
      </c>
      <c r="O386" s="415" t="s">
        <v>50</v>
      </c>
      <c r="P386" s="416">
        <f>'На 10 тыс'!B22</f>
        <v>14</v>
      </c>
      <c r="Q386" s="417">
        <f>'На 10 тыс'!C22</f>
        <v>10</v>
      </c>
      <c r="R386" s="418">
        <f t="shared" si="22"/>
        <v>0.4</v>
      </c>
      <c r="S386" s="419">
        <f>'На 10 тыс'!E22</f>
        <v>1029610</v>
      </c>
      <c r="T386" s="417">
        <f>'На 10 тыс'!F22</f>
        <v>791000</v>
      </c>
      <c r="U386" s="420">
        <f t="shared" si="23"/>
        <v>0.3016561314791403</v>
      </c>
      <c r="V386" s="421">
        <f>'На 10 тыс'!H22</f>
        <v>9.903091179175215</v>
      </c>
      <c r="W386" s="417">
        <f>'На 10 тыс'!I22</f>
        <v>7.0736365565537245</v>
      </c>
      <c r="X386" s="418">
        <f t="shared" si="24"/>
        <v>0.4</v>
      </c>
      <c r="Y386" s="422">
        <f>'На 10 тыс'!K22</f>
        <v>73543.57142857143</v>
      </c>
      <c r="Z386" s="423">
        <f>'На 10 тыс'!L22</f>
        <v>79100</v>
      </c>
      <c r="AA386" s="420">
        <f t="shared" si="31"/>
        <v>-0.07024562037204247</v>
      </c>
      <c r="AB386" s="421">
        <f>'На 10 тыс'!N22</f>
        <v>72.8308693499328</v>
      </c>
      <c r="AC386" s="424">
        <f>'На 10 тыс'!O22</f>
        <v>55.95246516233996</v>
      </c>
      <c r="AD386" s="418">
        <f t="shared" si="26"/>
        <v>0.3016561314791403</v>
      </c>
      <c r="AE386" s="419">
        <f>'На 10 тыс'!Q22</f>
        <v>0</v>
      </c>
      <c r="AF386" s="417">
        <f>'На 10 тыс'!R22</f>
        <v>1</v>
      </c>
      <c r="AG386" s="420">
        <f t="shared" si="27"/>
        <v>-1</v>
      </c>
      <c r="AH386" s="430">
        <f>AE386/VLOOKUP($O386,НаселГлавы!$A$1:$B$29,2,0)*10000</f>
        <v>0</v>
      </c>
      <c r="AI386" s="426">
        <f>AF386/VLOOKUP($O386,НаселГлавы!$A$1:$B$29,2,0)*10000</f>
        <v>0.5780346820809248</v>
      </c>
      <c r="AJ386" s="418">
        <f t="shared" si="28"/>
        <v>-1</v>
      </c>
      <c r="AK386" s="427">
        <f>Grig1!K46</f>
        <v>0</v>
      </c>
      <c r="AL386" s="428">
        <f>Grig1!L46</f>
        <v>0</v>
      </c>
      <c r="AM386" s="420" t="str">
        <f t="shared" si="29"/>
        <v>--</v>
      </c>
      <c r="AN386" s="430">
        <f>AK386/VLOOKUP($O386,НаселГлавы!$A$1:$B$29,2,0)*10000</f>
        <v>0</v>
      </c>
      <c r="AO386" s="426">
        <f>AL386/VLOOKUP($O386,НаселГлавы!$A$1:$B$29,2,0)*10000</f>
        <v>0</v>
      </c>
      <c r="AP386" s="429" t="str">
        <f t="shared" si="30"/>
        <v>--</v>
      </c>
    </row>
    <row r="387" spans="14:42" ht="12.75">
      <c r="N387" s="324">
        <v>19</v>
      </c>
      <c r="O387" s="415" t="s">
        <v>52</v>
      </c>
      <c r="P387" s="416">
        <f>'На 10 тыс'!B23</f>
        <v>44</v>
      </c>
      <c r="Q387" s="417">
        <f>'На 10 тыс'!C23</f>
        <v>57</v>
      </c>
      <c r="R387" s="418">
        <f t="shared" si="22"/>
        <v>-0.22807017543859642</v>
      </c>
      <c r="S387" s="419">
        <f>'На 10 тыс'!E23</f>
        <v>3230400</v>
      </c>
      <c r="T387" s="417">
        <f>'На 10 тыс'!F23</f>
        <v>2810131</v>
      </c>
      <c r="U387" s="420">
        <f t="shared" si="23"/>
        <v>0.14955494957352528</v>
      </c>
      <c r="V387" s="421">
        <f>'На 10 тыс'!H23</f>
        <v>10.551305724083356</v>
      </c>
      <c r="W387" s="417">
        <f>'На 10 тыс'!I23</f>
        <v>13.668736960744347</v>
      </c>
      <c r="X387" s="418">
        <f t="shared" si="24"/>
        <v>-0.22807017543859642</v>
      </c>
      <c r="Y387" s="422">
        <f>'На 10 тыс'!K23</f>
        <v>73418.18181818182</v>
      </c>
      <c r="Z387" s="423">
        <f>'На 10 тыс'!L23</f>
        <v>49300.54385964912</v>
      </c>
      <c r="AA387" s="420">
        <f t="shared" si="31"/>
        <v>0.4891961846747941</v>
      </c>
      <c r="AB387" s="421">
        <f>'На 10 тыс'!N23</f>
        <v>77.46576820699744</v>
      </c>
      <c r="AC387" s="424">
        <f>'На 10 тыс'!O23</f>
        <v>67.38761660391837</v>
      </c>
      <c r="AD387" s="418">
        <f t="shared" si="26"/>
        <v>0.14955494957352514</v>
      </c>
      <c r="AE387" s="419">
        <f>'На 10 тыс'!Q23</f>
        <v>3</v>
      </c>
      <c r="AF387" s="417">
        <f>'На 10 тыс'!R23</f>
        <v>8</v>
      </c>
      <c r="AG387" s="420">
        <f t="shared" si="27"/>
        <v>-0.625</v>
      </c>
      <c r="AH387" s="430">
        <f>AE387/VLOOKUP($O387,НаселГлавы!$A$1:$B$29,2,0)*10000</f>
        <v>1.4084507042253522</v>
      </c>
      <c r="AI387" s="426">
        <f>AF387/VLOOKUP($O387,НаселГлавы!$A$1:$B$29,2,0)*10000</f>
        <v>3.755868544600939</v>
      </c>
      <c r="AJ387" s="418">
        <f t="shared" si="28"/>
        <v>-0.6249999999999999</v>
      </c>
      <c r="AK387" s="427">
        <f>Grig1!K48</f>
        <v>2</v>
      </c>
      <c r="AL387" s="428">
        <f>Grig1!L48</f>
        <v>4</v>
      </c>
      <c r="AM387" s="420">
        <f t="shared" si="29"/>
        <v>-0.5</v>
      </c>
      <c r="AN387" s="430">
        <f>AK387/VLOOKUP($O387,НаселГлавы!$A$1:$B$29,2,0)*10000</f>
        <v>0.9389671361502347</v>
      </c>
      <c r="AO387" s="426">
        <f>AL387/VLOOKUP($O387,НаселГлавы!$A$1:$B$29,2,0)*10000</f>
        <v>1.8779342723004695</v>
      </c>
      <c r="AP387" s="429">
        <f t="shared" si="30"/>
        <v>-0.5</v>
      </c>
    </row>
    <row r="388" spans="14:42" ht="12.75">
      <c r="N388" s="324">
        <v>20</v>
      </c>
      <c r="O388" s="415" t="s">
        <v>54</v>
      </c>
      <c r="P388" s="416">
        <f>'На 10 тыс'!B24</f>
        <v>39</v>
      </c>
      <c r="Q388" s="417">
        <f>'На 10 тыс'!C24</f>
        <v>46</v>
      </c>
      <c r="R388" s="418">
        <f t="shared" si="22"/>
        <v>-0.15217391304347827</v>
      </c>
      <c r="S388" s="419">
        <f>'На 10 тыс'!E24</f>
        <v>1902500</v>
      </c>
      <c r="T388" s="417">
        <f>'На 10 тыс'!F24</f>
        <v>2589700</v>
      </c>
      <c r="U388" s="420">
        <f t="shared" si="23"/>
        <v>-0.2653589218828435</v>
      </c>
      <c r="V388" s="421">
        <f>'На 10 тыс'!H24</f>
        <v>13.343825914394225</v>
      </c>
      <c r="W388" s="417">
        <f>'На 10 тыс'!I24</f>
        <v>15.738871591336778</v>
      </c>
      <c r="X388" s="418">
        <f t="shared" si="24"/>
        <v>-0.15217391304347827</v>
      </c>
      <c r="Y388" s="422">
        <f>'На 10 тыс'!K24</f>
        <v>48782.05128205128</v>
      </c>
      <c r="Z388" s="423">
        <f>'На 10 тыс'!L24</f>
        <v>56297.82608695652</v>
      </c>
      <c r="AA388" s="420">
        <f t="shared" si="31"/>
        <v>-0.13350026683617444</v>
      </c>
      <c r="AB388" s="421">
        <f>'На 10 тыс'!N24</f>
        <v>65.09392000547439</v>
      </c>
      <c r="AC388" s="424">
        <f>'На 10 тыс'!O24</f>
        <v>88.60642556540185</v>
      </c>
      <c r="AD388" s="418">
        <f t="shared" si="26"/>
        <v>-0.2653589218828435</v>
      </c>
      <c r="AE388" s="419">
        <f>'На 10 тыс'!Q24</f>
        <v>2</v>
      </c>
      <c r="AF388" s="417">
        <f>'На 10 тыс'!R24</f>
        <v>5</v>
      </c>
      <c r="AG388" s="420">
        <f t="shared" si="27"/>
        <v>-0.6</v>
      </c>
      <c r="AH388" s="430">
        <f>AE388/VLOOKUP($O388,НаселГлавы!$A$1:$B$29,2,0)*10000</f>
        <v>0.5509641873278237</v>
      </c>
      <c r="AI388" s="426">
        <f>AF388/VLOOKUP($O388,НаселГлавы!$A$1:$B$29,2,0)*10000</f>
        <v>1.3774104683195592</v>
      </c>
      <c r="AJ388" s="418">
        <f t="shared" si="28"/>
        <v>-0.6</v>
      </c>
      <c r="AK388" s="427">
        <f>Grig1!K50</f>
        <v>9</v>
      </c>
      <c r="AL388" s="428">
        <f>Grig1!L50</f>
        <v>1</v>
      </c>
      <c r="AM388" s="420">
        <f t="shared" si="29"/>
        <v>8</v>
      </c>
      <c r="AN388" s="430">
        <f>AK388/VLOOKUP($O388,НаселГлавы!$A$1:$B$29,2,0)*10000</f>
        <v>2.479338842975207</v>
      </c>
      <c r="AO388" s="426">
        <f>AL388/VLOOKUP($O388,НаселГлавы!$A$1:$B$29,2,0)*10000</f>
        <v>0.27548209366391185</v>
      </c>
      <c r="AP388" s="429">
        <f t="shared" si="30"/>
        <v>8</v>
      </c>
    </row>
    <row r="389" spans="1:42" ht="12.75">
      <c r="A389" s="324" t="s">
        <v>248</v>
      </c>
      <c r="N389" s="324">
        <v>21</v>
      </c>
      <c r="O389" s="415" t="s">
        <v>56</v>
      </c>
      <c r="P389" s="416">
        <f>'На 10 тыс'!B25</f>
        <v>21</v>
      </c>
      <c r="Q389" s="417">
        <f>'На 10 тыс'!C25</f>
        <v>18</v>
      </c>
      <c r="R389" s="418">
        <f t="shared" si="22"/>
        <v>0.1666666666666667</v>
      </c>
      <c r="S389" s="419">
        <f>'На 10 тыс'!E25</f>
        <v>802370</v>
      </c>
      <c r="T389" s="417">
        <f>'На 10 тыс'!F25</f>
        <v>697000</v>
      </c>
      <c r="U389" s="420">
        <f t="shared" si="23"/>
        <v>0.15117647058823536</v>
      </c>
      <c r="V389" s="421">
        <f>'На 10 тыс'!H25</f>
        <v>10.59856667003129</v>
      </c>
      <c r="W389" s="417">
        <f>'На 10 тыс'!I25</f>
        <v>9.084485717169677</v>
      </c>
      <c r="X389" s="418">
        <f t="shared" si="24"/>
        <v>0.16666666666666685</v>
      </c>
      <c r="Y389" s="422">
        <f>'На 10 тыс'!K25</f>
        <v>38208.09523809524</v>
      </c>
      <c r="Z389" s="423">
        <f>'На 10 тыс'!L25</f>
        <v>38722.22222222222</v>
      </c>
      <c r="AA389" s="420">
        <f t="shared" si="31"/>
        <v>-0.01327731092436963</v>
      </c>
      <c r="AB389" s="421">
        <f>'На 10 тыс'!N25</f>
        <v>40.49510447158575</v>
      </c>
      <c r="AC389" s="424">
        <f>'На 10 тыс'!O25</f>
        <v>35.17714747148481</v>
      </c>
      <c r="AD389" s="418">
        <f t="shared" si="26"/>
        <v>0.15117647058823522</v>
      </c>
      <c r="AE389" s="419">
        <f>'На 10 тыс'!Q25</f>
        <v>0</v>
      </c>
      <c r="AF389" s="417">
        <f>'На 10 тыс'!R25</f>
        <v>1</v>
      </c>
      <c r="AG389" s="420">
        <f t="shared" si="27"/>
        <v>-1</v>
      </c>
      <c r="AH389" s="430">
        <f>AE389/VLOOKUP($O389,НаселГлавы!$A$1:$B$29,2,0)*10000</f>
        <v>0</v>
      </c>
      <c r="AI389" s="426">
        <f>AF389/VLOOKUP($O389,НаселГлавы!$A$1:$B$29,2,0)*10000</f>
        <v>0.3787878787878788</v>
      </c>
      <c r="AJ389" s="418">
        <f t="shared" si="28"/>
        <v>-1</v>
      </c>
      <c r="AK389" s="427">
        <f>Grig1!K52</f>
        <v>1</v>
      </c>
      <c r="AL389" s="428">
        <f>Grig1!L52</f>
        <v>2</v>
      </c>
      <c r="AM389" s="420">
        <f t="shared" si="29"/>
        <v>-0.5</v>
      </c>
      <c r="AN389" s="430">
        <f>AK389/VLOOKUP($O389,НаселГлавы!$A$1:$B$29,2,0)*10000</f>
        <v>0.3787878787878788</v>
      </c>
      <c r="AO389" s="426">
        <f>AL389/VLOOKUP($O389,НаселГлавы!$A$1:$B$29,2,0)*10000</f>
        <v>0.7575757575757576</v>
      </c>
      <c r="AP389" s="429">
        <f t="shared" si="30"/>
        <v>-0.5000000000000001</v>
      </c>
    </row>
    <row r="390" spans="14:42" ht="12.75">
      <c r="N390" s="324">
        <v>22</v>
      </c>
      <c r="O390" s="415" t="s">
        <v>58</v>
      </c>
      <c r="P390" s="416">
        <f>'На 10 тыс'!B26</f>
        <v>17</v>
      </c>
      <c r="Q390" s="417">
        <f>'На 10 тыс'!C26</f>
        <v>19</v>
      </c>
      <c r="R390" s="418">
        <f t="shared" si="22"/>
        <v>-0.10526315789473685</v>
      </c>
      <c r="S390" s="419">
        <f>'На 10 тыс'!E26</f>
        <v>748500</v>
      </c>
      <c r="T390" s="417">
        <f>'На 10 тыс'!F26</f>
        <v>1249000</v>
      </c>
      <c r="U390" s="420">
        <f t="shared" si="23"/>
        <v>-0.400720576461169</v>
      </c>
      <c r="V390" s="421">
        <f>'На 10 тыс'!H26</f>
        <v>10.534795810869431</v>
      </c>
      <c r="W390" s="417">
        <f>'На 10 тыс'!I26</f>
        <v>11.774183553324656</v>
      </c>
      <c r="X390" s="418">
        <f t="shared" si="24"/>
        <v>-0.10526315789473656</v>
      </c>
      <c r="Y390" s="422">
        <f>'На 10 тыс'!K26</f>
        <v>44029.41176470588</v>
      </c>
      <c r="Z390" s="423">
        <f>'На 10 тыс'!L26</f>
        <v>65736.84210526316</v>
      </c>
      <c r="AA390" s="420">
        <f>IF(Z390=0,"--",(((Y390*100)/Z390)-100)/100)</f>
        <v>-0.33021711486836536</v>
      </c>
      <c r="AB390" s="421">
        <f>'На 10 тыс'!N26</f>
        <v>46.38408626138688</v>
      </c>
      <c r="AC390" s="424">
        <f>'На 10 тыс'!O26</f>
        <v>77.39976451632893</v>
      </c>
      <c r="AD390" s="418">
        <f t="shared" si="26"/>
        <v>-0.4007205764611689</v>
      </c>
      <c r="AE390" s="419">
        <f>'На 10 тыс'!Q26</f>
        <v>2</v>
      </c>
      <c r="AF390" s="417">
        <f>'На 10 тыс'!R26</f>
        <v>0</v>
      </c>
      <c r="AG390" s="420" t="str">
        <f t="shared" si="27"/>
        <v>--</v>
      </c>
      <c r="AH390" s="430">
        <f>AE390/VLOOKUP($O390,НаселГлавы!$A$1:$B$29,2,0)*10000</f>
        <v>1.0309278350515465</v>
      </c>
      <c r="AI390" s="426">
        <f>AF390/VLOOKUP($O390,НаселГлавы!$A$1:$B$29,2,0)*10000</f>
        <v>0</v>
      </c>
      <c r="AJ390" s="418" t="str">
        <f t="shared" si="28"/>
        <v>--</v>
      </c>
      <c r="AK390" s="427">
        <f>Grig1!K54</f>
        <v>0</v>
      </c>
      <c r="AL390" s="428">
        <f>Grig1!L54</f>
        <v>0</v>
      </c>
      <c r="AM390" s="420" t="str">
        <f t="shared" si="29"/>
        <v>--</v>
      </c>
      <c r="AN390" s="430">
        <f>AK390/VLOOKUP($O390,НаселГлавы!$A$1:$B$29,2,0)*10000</f>
        <v>0</v>
      </c>
      <c r="AO390" s="426">
        <f>AL390/VLOOKUP($O390,НаселГлавы!$A$1:$B$29,2,0)*10000</f>
        <v>0</v>
      </c>
      <c r="AP390" s="429" t="str">
        <f t="shared" si="30"/>
        <v>--</v>
      </c>
    </row>
    <row r="391" spans="14:42" ht="12.75">
      <c r="N391" s="324">
        <v>23</v>
      </c>
      <c r="O391" s="415" t="s">
        <v>11</v>
      </c>
      <c r="P391" s="416">
        <f>'На 10 тыс'!B27</f>
        <v>62</v>
      </c>
      <c r="Q391" s="417">
        <f>'На 10 тыс'!C27</f>
        <v>58</v>
      </c>
      <c r="R391" s="418">
        <f t="shared" si="22"/>
        <v>0.06896551724137936</v>
      </c>
      <c r="S391" s="419">
        <f>'На 10 тыс'!E27</f>
        <v>7965575</v>
      </c>
      <c r="T391" s="417">
        <f>'На 10 тыс'!F27</f>
        <v>4055278</v>
      </c>
      <c r="U391" s="420">
        <f t="shared" si="23"/>
        <v>0.964248813521539</v>
      </c>
      <c r="V391" s="421">
        <f>'На 10 тыс'!H27</f>
        <v>5.0241076131437135</v>
      </c>
      <c r="W391" s="417">
        <f>'На 10 тыс'!I27</f>
        <v>4.699971638102184</v>
      </c>
      <c r="X391" s="418">
        <f t="shared" si="24"/>
        <v>0.06896551724137921</v>
      </c>
      <c r="Y391" s="422">
        <f>'На 10 тыс'!K27</f>
        <v>128477.01612903226</v>
      </c>
      <c r="Z391" s="423">
        <f>'На 10 тыс'!L27</f>
        <v>69918.58620689655</v>
      </c>
      <c r="AA391" s="420">
        <f>IF(Z391=0,"--",(((Y391*100)/Z391)-100)/100)</f>
        <v>0.8375230836169237</v>
      </c>
      <c r="AB391" s="421">
        <f>'На 10 тыс'!N27</f>
        <v>64.54823548478586</v>
      </c>
      <c r="AC391" s="424">
        <f>'На 10 тыс'!O27</f>
        <v>32.861537214861634</v>
      </c>
      <c r="AD391" s="418">
        <f t="shared" si="26"/>
        <v>0.964248813521539</v>
      </c>
      <c r="AE391" s="419">
        <f>'На 10 тыс'!Q27</f>
        <v>5</v>
      </c>
      <c r="AF391" s="417">
        <f>'На 10 тыс'!R27</f>
        <v>3</v>
      </c>
      <c r="AG391" s="420">
        <f t="shared" si="27"/>
        <v>0.6666666666666665</v>
      </c>
      <c r="AH391" s="430">
        <f>AE391/VLOOKUP($O391,НаселГлавы!$A$1:$B$29,2,0)*10000</f>
        <v>0.3875968992248062</v>
      </c>
      <c r="AI391" s="426">
        <f>AF391/VLOOKUP($O391,НаселГлавы!$A$1:$B$29,2,0)*10000</f>
        <v>0.23255813953488372</v>
      </c>
      <c r="AJ391" s="418">
        <f t="shared" si="28"/>
        <v>0.6666666666666669</v>
      </c>
      <c r="AK391" s="427">
        <f>Grig1!K7</f>
        <v>10</v>
      </c>
      <c r="AL391" s="428">
        <f>Grig1!L7</f>
        <v>7</v>
      </c>
      <c r="AM391" s="420">
        <f t="shared" si="29"/>
        <v>0.4285714285714286</v>
      </c>
      <c r="AN391" s="430">
        <f>AK391/VLOOKUP($O391,НаселГлавы!$A$1:$B$29,2,0)*10000</f>
        <v>0.7751937984496124</v>
      </c>
      <c r="AO391" s="426">
        <f>AL391/VLOOKUP($O391,НаселГлавы!$A$1:$B$29,2,0)*10000</f>
        <v>0.5426356589147286</v>
      </c>
      <c r="AP391" s="429">
        <f t="shared" si="30"/>
        <v>0.4285714285714289</v>
      </c>
    </row>
    <row r="392" spans="14:42" ht="12.75">
      <c r="N392" s="324">
        <v>24</v>
      </c>
      <c r="O392" s="415" t="s">
        <v>12</v>
      </c>
      <c r="P392" s="416">
        <f>'На 10 тыс'!B28</f>
        <v>76</v>
      </c>
      <c r="Q392" s="417">
        <f>'На 10 тыс'!C28</f>
        <v>84</v>
      </c>
      <c r="R392" s="418">
        <f t="shared" si="22"/>
        <v>-0.09523809523809518</v>
      </c>
      <c r="S392" s="419">
        <f>'На 10 тыс'!E28</f>
        <v>4174505</v>
      </c>
      <c r="T392" s="417">
        <f>'На 10 тыс'!F28</f>
        <v>5800179</v>
      </c>
      <c r="U392" s="420">
        <f t="shared" si="23"/>
        <v>-0.2802799706698707</v>
      </c>
      <c r="V392" s="421">
        <f>'На 10 тыс'!H28</f>
        <v>4.063084736701416</v>
      </c>
      <c r="W392" s="417">
        <f>'На 10 тыс'!I28</f>
        <v>4.490777866880514</v>
      </c>
      <c r="X392" s="418">
        <f t="shared" si="24"/>
        <v>-0.09523809523809547</v>
      </c>
      <c r="Y392" s="422">
        <f>'На 10 тыс'!K28</f>
        <v>54927.69736842105</v>
      </c>
      <c r="Z392" s="423">
        <f>'На 10 тыс'!L28</f>
        <v>69049.75</v>
      </c>
      <c r="AA392" s="420">
        <f>IF(Z392=0,"--",(((Y392*100)/Z392)-100)/100)</f>
        <v>-0.20451996758248867</v>
      </c>
      <c r="AB392" s="421">
        <f>'На 10 тыс'!N28</f>
        <v>22.317588879978615</v>
      </c>
      <c r="AC392" s="424">
        <f>'На 10 тыс'!O28</f>
        <v>31.00870890136327</v>
      </c>
      <c r="AD392" s="418">
        <f t="shared" si="26"/>
        <v>-0.2802799706698707</v>
      </c>
      <c r="AE392" s="419">
        <f>'На 10 тыс'!Q28</f>
        <v>9</v>
      </c>
      <c r="AF392" s="417">
        <f>'На 10 тыс'!R28</f>
        <v>8</v>
      </c>
      <c r="AG392" s="420">
        <f t="shared" si="27"/>
        <v>0.125</v>
      </c>
      <c r="AH392" s="430">
        <f>AE392/VLOOKUP($O392,НаселГлавы!$A$1:$B$29,2,0)*10000</f>
        <v>0.5572755417956656</v>
      </c>
      <c r="AI392" s="426">
        <f>AF392/VLOOKUP($O392,НаселГлавы!$A$1:$B$29,2,0)*10000</f>
        <v>0.49535603715170273</v>
      </c>
      <c r="AJ392" s="418">
        <f t="shared" si="28"/>
        <v>0.125</v>
      </c>
      <c r="AK392" s="427">
        <f>Grig1!K8</f>
        <v>23</v>
      </c>
      <c r="AL392" s="428">
        <f>Grig1!L8</f>
        <v>20</v>
      </c>
      <c r="AM392" s="420">
        <f t="shared" si="29"/>
        <v>0.15</v>
      </c>
      <c r="AN392" s="430">
        <f>AK392/VLOOKUP($O392,НаселГлавы!$A$1:$B$29,2,0)*10000</f>
        <v>1.4241486068111455</v>
      </c>
      <c r="AO392" s="426">
        <f>AL392/VLOOKUP($O392,НаселГлавы!$A$1:$B$29,2,0)*10000</f>
        <v>1.238390092879257</v>
      </c>
      <c r="AP392" s="429">
        <f t="shared" si="30"/>
        <v>0.15</v>
      </c>
    </row>
    <row r="393" spans="14:42" ht="12.75">
      <c r="N393" s="324">
        <v>25</v>
      </c>
      <c r="O393" s="415" t="s">
        <v>13</v>
      </c>
      <c r="P393" s="416">
        <f>'На 10 тыс'!B29</f>
        <v>90</v>
      </c>
      <c r="Q393" s="417">
        <f>'На 10 тыс'!C29</f>
        <v>92</v>
      </c>
      <c r="R393" s="418">
        <f t="shared" si="22"/>
        <v>-0.021739130434782653</v>
      </c>
      <c r="S393" s="419">
        <f>'На 10 тыс'!E29</f>
        <v>7582326</v>
      </c>
      <c r="T393" s="417">
        <f>'На 10 тыс'!F29</f>
        <v>4153100</v>
      </c>
      <c r="U393" s="420">
        <f t="shared" si="23"/>
        <v>0.825702728082637</v>
      </c>
      <c r="V393" s="421">
        <f>'На 10 тыс'!H29</f>
        <v>6.002881383063871</v>
      </c>
      <c r="W393" s="417">
        <f>'На 10 тыс'!I29</f>
        <v>6.136278747131957</v>
      </c>
      <c r="X393" s="418">
        <f t="shared" si="24"/>
        <v>-0.021739130434782653</v>
      </c>
      <c r="Y393" s="422">
        <f>'На 10 тыс'!K29</f>
        <v>84248.06666666667</v>
      </c>
      <c r="Z393" s="423">
        <f>'На 10 тыс'!L29</f>
        <v>45142.391304347824</v>
      </c>
      <c r="AA393" s="420">
        <f>IF(Z393=0,"--",(((Y393*100)/Z393)-100)/100)</f>
        <v>0.8662738998178068</v>
      </c>
      <c r="AB393" s="421">
        <f>'На 10 тыс'!N29</f>
        <v>50.57311509524572</v>
      </c>
      <c r="AC393" s="424">
        <f>'На 10 тыс'!O29</f>
        <v>27.7006296355584</v>
      </c>
      <c r="AD393" s="418">
        <f t="shared" si="26"/>
        <v>0.8257027280826372</v>
      </c>
      <c r="AE393" s="419">
        <f>'На 10 тыс'!Q29</f>
        <v>7</v>
      </c>
      <c r="AF393" s="417">
        <f>'На 10 тыс'!R29</f>
        <v>5</v>
      </c>
      <c r="AG393" s="420">
        <f t="shared" si="27"/>
        <v>0.4</v>
      </c>
      <c r="AH393" s="430">
        <f>AE393/VLOOKUP($O393,НаселГлавы!$A$1:$B$29,2,0)*10000</f>
        <v>0.4345127250155183</v>
      </c>
      <c r="AI393" s="426">
        <f>AF393/VLOOKUP($O393,НаселГлавы!$A$1:$B$29,2,0)*10000</f>
        <v>0.31036623215394166</v>
      </c>
      <c r="AJ393" s="418">
        <f t="shared" si="28"/>
        <v>0.3999999999999997</v>
      </c>
      <c r="AK393" s="427">
        <f>Grig1!K9</f>
        <v>16</v>
      </c>
      <c r="AL393" s="428">
        <f>Grig1!L9</f>
        <v>17</v>
      </c>
      <c r="AM393" s="420">
        <f t="shared" si="29"/>
        <v>-0.058823529411764636</v>
      </c>
      <c r="AN393" s="430">
        <f>AK393/VLOOKUP($O393,НаселГлавы!$A$1:$B$29,2,0)*10000</f>
        <v>0.9931719428926132</v>
      </c>
      <c r="AO393" s="426">
        <f>AL393/VLOOKUP($O393,НаселГлавы!$A$1:$B$29,2,0)*10000</f>
        <v>1.0552451893234016</v>
      </c>
      <c r="AP393" s="429">
        <f t="shared" si="30"/>
        <v>-0.05882352941176478</v>
      </c>
    </row>
    <row r="394" spans="15:42" ht="12.75">
      <c r="O394" s="432" t="s">
        <v>62</v>
      </c>
      <c r="P394" s="416">
        <f>SUM(P369:P393)</f>
        <v>1037</v>
      </c>
      <c r="Q394" s="417">
        <f>SUM(Q369:Q393)</f>
        <v>1087</v>
      </c>
      <c r="R394" s="418">
        <f t="shared" si="22"/>
        <v>-0.04599816007359706</v>
      </c>
      <c r="S394" s="422">
        <f>SUM(S369:S393)</f>
        <v>75244277</v>
      </c>
      <c r="T394" s="423">
        <f>SUM(T369:T393)</f>
        <v>63029867</v>
      </c>
      <c r="U394" s="420">
        <f t="shared" si="23"/>
        <v>0.1937876530819905</v>
      </c>
      <c r="V394" s="421">
        <f>'На 10 тыс'!H30</f>
        <v>8.315878275429586</v>
      </c>
      <c r="W394" s="417">
        <f>'На 10 тыс'!I30</f>
        <v>8.716836726511053</v>
      </c>
      <c r="X394" s="418">
        <f t="shared" si="24"/>
        <v>-0.04599816007359721</v>
      </c>
      <c r="Y394" s="422">
        <f>'На 10 тыс'!K30</f>
        <v>72559.57280617165</v>
      </c>
      <c r="Z394" s="423">
        <f>'На 10 тыс'!L30</f>
        <v>57985.158233670656</v>
      </c>
      <c r="AA394" s="420">
        <f>IF(Z394=0,"--",(((Y394*100)/Z394)-100)/100)</f>
        <v>0.2513473277725397</v>
      </c>
      <c r="AB394" s="421">
        <f>'На 10 тыс'!N30</f>
        <v>60.33965751732942</v>
      </c>
      <c r="AC394" s="424">
        <f>'На 10 тыс'!O30</f>
        <v>50.54471568838151</v>
      </c>
      <c r="AD394" s="418">
        <f t="shared" si="26"/>
        <v>0.1937876530819905</v>
      </c>
      <c r="AE394" s="419">
        <f>'На 10 тыс'!Q30</f>
        <v>92</v>
      </c>
      <c r="AF394" s="417">
        <f>'На 10 тыс'!R30</f>
        <v>102</v>
      </c>
      <c r="AG394" s="420">
        <f t="shared" si="27"/>
        <v>-0.09803921568627444</v>
      </c>
      <c r="AH394" s="430">
        <f>AE394/VLOOKUP($O394,НаселГлавы!$A$1:$B$29,2,0)*10000</f>
        <v>0.6760232199279889</v>
      </c>
      <c r="AI394" s="426">
        <f>AF394/VLOOKUP($O394,НаселГлавы!$A$1:$B$29,2,0)*10000</f>
        <v>0.7495040047027702</v>
      </c>
      <c r="AJ394" s="418">
        <f t="shared" si="28"/>
        <v>-0.09803921568627444</v>
      </c>
      <c r="AK394" s="433">
        <f>AK369+AK370+AK371+AK372+AK373+AK374+AK375+AK376+AK377+AK378+AK379+AK380+AK381+AK382+AK383+AK384+AK385+AK386+AK387+AK388+AK389+AK390+AK391+AK392+AK393</f>
        <v>112</v>
      </c>
      <c r="AL394" s="434">
        <f>AL369+AL370+AL371+AL372+AL373+AL374+AL375+AL376+AL377+AL378+AL379+AL380+AL381+AL382+AL383+AL384+AL385+AL386+AL387+AL388+AL389+AL390+AL391+AL392+AL393</f>
        <v>96</v>
      </c>
      <c r="AM394" s="420">
        <f t="shared" si="29"/>
        <v>0.1666666666666667</v>
      </c>
      <c r="AN394" s="430">
        <f>AK394/VLOOKUP($O394,НаселГлавы!$A$1:$B$29,2,0)*10000</f>
        <v>0.8229847894775516</v>
      </c>
      <c r="AO394" s="426">
        <f>AL394/VLOOKUP($O394,НаселГлавы!$A$1:$B$29,2,0)*10000</f>
        <v>0.7054155338379015</v>
      </c>
      <c r="AP394" s="429">
        <f t="shared" si="30"/>
        <v>0.16666666666666644</v>
      </c>
    </row>
    <row r="395" ht="12.75">
      <c r="V395" s="435"/>
    </row>
    <row r="396" spans="15:18" ht="13.5">
      <c r="O396" s="364" t="s">
        <v>2</v>
      </c>
      <c r="P396" s="590" t="s">
        <v>8</v>
      </c>
      <c r="Q396" s="590"/>
      <c r="R396" s="590"/>
    </row>
    <row r="397" spans="15:18" ht="12.75">
      <c r="O397" s="364"/>
      <c r="P397" s="365">
        <v>2012</v>
      </c>
      <c r="Q397" s="366">
        <v>2011</v>
      </c>
      <c r="R397" s="365" t="s">
        <v>9</v>
      </c>
    </row>
    <row r="398" spans="15:18" ht="12.75">
      <c r="O398" s="367" t="s">
        <v>11</v>
      </c>
      <c r="P398" s="376">
        <f>Grig1!N7</f>
        <v>61</v>
      </c>
      <c r="Q398" s="376">
        <f>Grig1!O7</f>
        <v>43</v>
      </c>
      <c r="R398" s="369" t="str">
        <f aca="true" t="shared" si="32" ref="R398:R422">IF(Q398&lt;&gt;0,TEXT(((P398-Q398)/Q398)*100,"0,0"),"--")</f>
        <v>41,9</v>
      </c>
    </row>
    <row r="399" spans="15:18" ht="12.75">
      <c r="O399" s="367" t="s">
        <v>12</v>
      </c>
      <c r="P399" s="376">
        <f>Grig1!N8</f>
        <v>50</v>
      </c>
      <c r="Q399" s="376">
        <f>Grig1!O8</f>
        <v>56</v>
      </c>
      <c r="R399" s="369" t="str">
        <f t="shared" si="32"/>
        <v>-10,7</v>
      </c>
    </row>
    <row r="400" spans="15:18" ht="12.75">
      <c r="O400" s="367" t="s">
        <v>13</v>
      </c>
      <c r="P400" s="376">
        <f>Grig1!N9</f>
        <v>85</v>
      </c>
      <c r="Q400" s="376">
        <f>Grig1!O9</f>
        <v>63</v>
      </c>
      <c r="R400" s="369" t="str">
        <f t="shared" si="32"/>
        <v>34,9</v>
      </c>
    </row>
    <row r="401" spans="15:18" ht="12.75">
      <c r="O401" s="367" t="s">
        <v>14</v>
      </c>
      <c r="P401" s="376">
        <f>Grig1!N10</f>
        <v>7</v>
      </c>
      <c r="Q401" s="376">
        <f>Grig1!O10</f>
        <v>10</v>
      </c>
      <c r="R401" s="369" t="str">
        <f t="shared" si="32"/>
        <v>-30,0</v>
      </c>
    </row>
    <row r="402" spans="15:18" ht="12.75">
      <c r="O402" s="367" t="s">
        <v>17</v>
      </c>
      <c r="P402" s="376">
        <f>Grig1!N13</f>
        <v>0</v>
      </c>
      <c r="Q402" s="376">
        <f>Grig1!O13</f>
        <v>3</v>
      </c>
      <c r="R402" s="369" t="str">
        <f t="shared" si="32"/>
        <v>-100,0</v>
      </c>
    </row>
    <row r="403" spans="15:18" ht="12.75">
      <c r="O403" s="367" t="s">
        <v>19</v>
      </c>
      <c r="P403" s="376">
        <f>Grig1!N15</f>
        <v>2</v>
      </c>
      <c r="Q403" s="376">
        <f>Grig1!O15</f>
        <v>1</v>
      </c>
      <c r="R403" s="369" t="str">
        <f t="shared" si="32"/>
        <v>100,0</v>
      </c>
    </row>
    <row r="404" spans="15:18" ht="12.75">
      <c r="O404" s="367" t="s">
        <v>21</v>
      </c>
      <c r="P404" s="376">
        <f>Grig1!N17</f>
        <v>1</v>
      </c>
      <c r="Q404" s="376">
        <f>Grig1!O17</f>
        <v>14</v>
      </c>
      <c r="R404" s="369" t="str">
        <f t="shared" si="32"/>
        <v>-92,9</v>
      </c>
    </row>
    <row r="405" spans="15:18" ht="12.75">
      <c r="O405" s="367" t="s">
        <v>23</v>
      </c>
      <c r="P405" s="376">
        <f>Grig1!N19</f>
        <v>0</v>
      </c>
      <c r="Q405" s="376">
        <f>Grig1!O19</f>
        <v>5</v>
      </c>
      <c r="R405" s="369" t="str">
        <f t="shared" si="32"/>
        <v>-100,0</v>
      </c>
    </row>
    <row r="406" spans="15:18" ht="12.75">
      <c r="O406" s="367" t="s">
        <v>26</v>
      </c>
      <c r="P406" s="376">
        <f>Grig1!N22</f>
        <v>33</v>
      </c>
      <c r="Q406" s="376">
        <f>Grig1!O22</f>
        <v>17</v>
      </c>
      <c r="R406" s="369" t="str">
        <f t="shared" si="32"/>
        <v>94,1</v>
      </c>
    </row>
    <row r="407" spans="15:18" ht="12.75">
      <c r="O407" s="367" t="s">
        <v>28</v>
      </c>
      <c r="P407" s="376">
        <f>Grig1!N24</f>
        <v>15</v>
      </c>
      <c r="Q407" s="376">
        <f>Grig1!O24</f>
        <v>0</v>
      </c>
      <c r="R407" s="369" t="str">
        <f t="shared" si="32"/>
        <v>--</v>
      </c>
    </row>
    <row r="408" spans="15:18" ht="12.75">
      <c r="O408" s="367" t="s">
        <v>30</v>
      </c>
      <c r="P408" s="376">
        <f>Grig1!N26</f>
        <v>1</v>
      </c>
      <c r="Q408" s="376">
        <f>Grig1!O26</f>
        <v>3</v>
      </c>
      <c r="R408" s="369" t="str">
        <f t="shared" si="32"/>
        <v>-66,7</v>
      </c>
    </row>
    <row r="409" spans="15:18" ht="12.75">
      <c r="O409" s="367" t="s">
        <v>32</v>
      </c>
      <c r="P409" s="376">
        <f>Grig1!N28</f>
        <v>0</v>
      </c>
      <c r="Q409" s="376">
        <f>Grig1!O28</f>
        <v>4</v>
      </c>
      <c r="R409" s="369" t="str">
        <f t="shared" si="32"/>
        <v>-100,0</v>
      </c>
    </row>
    <row r="410" spans="15:18" ht="12.75">
      <c r="O410" s="367" t="s">
        <v>34</v>
      </c>
      <c r="P410" s="376">
        <f>Grig1!N30</f>
        <v>3</v>
      </c>
      <c r="Q410" s="376">
        <f>Grig1!O30</f>
        <v>1</v>
      </c>
      <c r="R410" s="369" t="str">
        <f t="shared" si="32"/>
        <v>200,0</v>
      </c>
    </row>
    <row r="411" spans="15:18" ht="12.75">
      <c r="O411" s="367" t="s">
        <v>36</v>
      </c>
      <c r="P411" s="376">
        <f>Grig1!N32</f>
        <v>1</v>
      </c>
      <c r="Q411" s="376">
        <f>Grig1!O32</f>
        <v>1</v>
      </c>
      <c r="R411" s="369" t="str">
        <f t="shared" si="32"/>
        <v>0,0</v>
      </c>
    </row>
    <row r="412" spans="15:18" ht="12.75">
      <c r="O412" s="367" t="s">
        <v>38</v>
      </c>
      <c r="P412" s="376">
        <f>Grig1!N34</f>
        <v>2</v>
      </c>
      <c r="Q412" s="376">
        <f>Grig1!O34</f>
        <v>10</v>
      </c>
      <c r="R412" s="369" t="str">
        <f t="shared" si="32"/>
        <v>-80,0</v>
      </c>
    </row>
    <row r="413" spans="15:18" ht="12.75">
      <c r="O413" s="370" t="s">
        <v>41</v>
      </c>
      <c r="P413" s="376">
        <f>Grig1!N37</f>
        <v>39</v>
      </c>
      <c r="Q413" s="376">
        <f>Grig1!O37</f>
        <v>111</v>
      </c>
      <c r="R413" s="371" t="str">
        <f t="shared" si="32"/>
        <v>-64,9</v>
      </c>
    </row>
    <row r="414" spans="15:18" ht="12.75">
      <c r="O414" s="367" t="s">
        <v>42</v>
      </c>
      <c r="P414" s="376">
        <f>Grig1!N38</f>
        <v>0</v>
      </c>
      <c r="Q414" s="376">
        <f>Grig1!O38</f>
        <v>3</v>
      </c>
      <c r="R414" s="369" t="str">
        <f t="shared" si="32"/>
        <v>-100,0</v>
      </c>
    </row>
    <row r="415" spans="15:18" ht="12.75">
      <c r="O415" s="367" t="s">
        <v>44</v>
      </c>
      <c r="P415" s="376">
        <f>Grig1!N40</f>
        <v>1</v>
      </c>
      <c r="Q415" s="376">
        <f>Grig1!O40</f>
        <v>1</v>
      </c>
      <c r="R415" s="369" t="str">
        <f t="shared" si="32"/>
        <v>0,0</v>
      </c>
    </row>
    <row r="416" spans="15:18" ht="12.75">
      <c r="O416" s="367" t="s">
        <v>46</v>
      </c>
      <c r="P416" s="376">
        <f>Grig1!N42</f>
        <v>34</v>
      </c>
      <c r="Q416" s="376">
        <f>Grig1!O42</f>
        <v>12</v>
      </c>
      <c r="R416" s="369" t="str">
        <f t="shared" si="32"/>
        <v>183,3</v>
      </c>
    </row>
    <row r="417" spans="15:18" ht="12.75">
      <c r="O417" s="367" t="s">
        <v>48</v>
      </c>
      <c r="P417" s="376">
        <f>Grig1!N44</f>
        <v>9</v>
      </c>
      <c r="Q417" s="376">
        <f>Grig1!O44</f>
        <v>6</v>
      </c>
      <c r="R417" s="369" t="str">
        <f t="shared" si="32"/>
        <v>50,0</v>
      </c>
    </row>
    <row r="418" spans="15:18" ht="12.75">
      <c r="O418" s="367" t="s">
        <v>50</v>
      </c>
      <c r="P418" s="376">
        <f>Grig1!N46</f>
        <v>0</v>
      </c>
      <c r="Q418" s="376">
        <f>Grig1!O46</f>
        <v>0</v>
      </c>
      <c r="R418" s="369" t="str">
        <f t="shared" si="32"/>
        <v>--</v>
      </c>
    </row>
    <row r="419" spans="15:18" ht="12.75">
      <c r="O419" s="367" t="s">
        <v>52</v>
      </c>
      <c r="P419" s="376">
        <f>Grig1!N48</f>
        <v>11</v>
      </c>
      <c r="Q419" s="376">
        <f>Grig1!O48</f>
        <v>22</v>
      </c>
      <c r="R419" s="369" t="str">
        <f t="shared" si="32"/>
        <v>-50,0</v>
      </c>
    </row>
    <row r="420" spans="15:18" ht="12.75">
      <c r="O420" s="367" t="s">
        <v>54</v>
      </c>
      <c r="P420" s="376">
        <f>Grig1!N50</f>
        <v>1</v>
      </c>
      <c r="Q420" s="376">
        <f>Grig1!O50</f>
        <v>3</v>
      </c>
      <c r="R420" s="369" t="str">
        <f t="shared" si="32"/>
        <v>-66,7</v>
      </c>
    </row>
    <row r="421" spans="15:18" ht="12.75">
      <c r="O421" s="367" t="s">
        <v>56</v>
      </c>
      <c r="P421" s="376">
        <f>Grig1!N52</f>
        <v>1</v>
      </c>
      <c r="Q421" s="376">
        <f>Grig1!O52</f>
        <v>3</v>
      </c>
      <c r="R421" s="369" t="str">
        <f t="shared" si="32"/>
        <v>-66,7</v>
      </c>
    </row>
    <row r="422" spans="15:18" ht="12.75">
      <c r="O422" s="367" t="s">
        <v>58</v>
      </c>
      <c r="P422" s="376">
        <f>Grig1!N54</f>
        <v>0</v>
      </c>
      <c r="Q422" s="376">
        <f>Grig1!O54</f>
        <v>1</v>
      </c>
      <c r="R422" s="369" t="str">
        <f t="shared" si="32"/>
        <v>-100,0</v>
      </c>
    </row>
    <row r="423" spans="16:17" ht="12.75">
      <c r="P423" s="324">
        <f>SUM(P398:P422)</f>
        <v>357</v>
      </c>
      <c r="Q423" s="324">
        <f>SUM(Q398:Q422)</f>
        <v>393</v>
      </c>
    </row>
    <row r="431" spans="1:7" ht="12.75">
      <c r="A431" s="436">
        <v>2001</v>
      </c>
      <c r="B431" s="436">
        <v>2002</v>
      </c>
      <c r="C431" s="436">
        <v>2003</v>
      </c>
      <c r="D431" s="436">
        <v>2004</v>
      </c>
      <c r="E431" s="436">
        <v>2005</v>
      </c>
      <c r="F431" s="436">
        <v>2006</v>
      </c>
      <c r="G431" s="437" t="s">
        <v>249</v>
      </c>
    </row>
    <row r="432" spans="1:7" ht="12.75">
      <c r="A432" s="359">
        <v>1978</v>
      </c>
      <c r="B432" s="359">
        <v>2057</v>
      </c>
      <c r="C432" s="359">
        <v>1809</v>
      </c>
      <c r="D432" s="359">
        <v>1682</v>
      </c>
      <c r="E432" s="359">
        <v>1645</v>
      </c>
      <c r="F432" s="359">
        <v>1517</v>
      </c>
      <c r="G432" s="437">
        <f>Grig1!B58</f>
        <v>1037</v>
      </c>
    </row>
    <row r="433" spans="1:7" ht="12.75">
      <c r="A433" s="359">
        <v>128</v>
      </c>
      <c r="B433" s="359">
        <v>127</v>
      </c>
      <c r="C433" s="359">
        <v>151</v>
      </c>
      <c r="D433" s="359">
        <v>145</v>
      </c>
      <c r="E433" s="359">
        <v>139</v>
      </c>
      <c r="F433" s="359">
        <v>136</v>
      </c>
      <c r="G433" s="437">
        <f>Grig1!H58</f>
        <v>92</v>
      </c>
    </row>
    <row r="434" spans="1:8" ht="12.75">
      <c r="A434" s="438"/>
      <c r="B434" s="438"/>
      <c r="C434" s="438"/>
      <c r="D434" s="438"/>
      <c r="E434" s="438"/>
      <c r="F434" s="438"/>
      <c r="G434" s="438"/>
      <c r="H434" s="439"/>
    </row>
    <row r="435" spans="1:8" ht="12.75">
      <c r="A435" s="439"/>
      <c r="B435" s="439"/>
      <c r="C435" s="439"/>
      <c r="D435" s="439"/>
      <c r="E435" s="439"/>
      <c r="F435" s="439"/>
      <c r="G435" s="439"/>
      <c r="H435" s="439"/>
    </row>
    <row r="436" spans="1:8" ht="12.75">
      <c r="A436" s="439"/>
      <c r="B436" s="439"/>
      <c r="C436" s="439"/>
      <c r="D436" s="439"/>
      <c r="E436" s="439"/>
      <c r="F436" s="439"/>
      <c r="G436" s="439"/>
      <c r="H436" s="439"/>
    </row>
    <row r="437" spans="1:8" ht="12.75">
      <c r="A437" s="439"/>
      <c r="B437" s="439"/>
      <c r="C437" s="439"/>
      <c r="D437" s="439"/>
      <c r="E437" s="439"/>
      <c r="F437" s="439"/>
      <c r="G437" s="439"/>
      <c r="H437" s="439"/>
    </row>
    <row r="459" spans="2:6" ht="12.75">
      <c r="B459" s="359" t="s">
        <v>250</v>
      </c>
      <c r="C459" s="359" t="s">
        <v>251</v>
      </c>
      <c r="D459" s="359" t="s">
        <v>252</v>
      </c>
      <c r="E459" s="359" t="s">
        <v>253</v>
      </c>
      <c r="F459" s="359" t="s">
        <v>254</v>
      </c>
    </row>
    <row r="460" spans="1:6" ht="12.75">
      <c r="A460" s="324" t="s">
        <v>255</v>
      </c>
      <c r="B460" s="359">
        <v>141</v>
      </c>
      <c r="C460" s="359">
        <v>149</v>
      </c>
      <c r="D460" s="359">
        <v>90</v>
      </c>
      <c r="E460" s="359">
        <v>130</v>
      </c>
      <c r="F460" s="359">
        <v>116</v>
      </c>
    </row>
    <row r="461" spans="1:6" ht="12.75">
      <c r="A461" s="324" t="s">
        <v>256</v>
      </c>
      <c r="B461" s="359">
        <v>18</v>
      </c>
      <c r="C461" s="359">
        <v>18</v>
      </c>
      <c r="D461" s="359">
        <v>9</v>
      </c>
      <c r="E461" s="359">
        <v>17</v>
      </c>
      <c r="F461" s="359">
        <v>18</v>
      </c>
    </row>
  </sheetData>
  <sheetProtection selectLockedCells="1" selectUnlockedCells="1"/>
  <mergeCells count="27">
    <mergeCell ref="AN367:AP367"/>
    <mergeCell ref="P396:R396"/>
    <mergeCell ref="AB367:AD367"/>
    <mergeCell ref="AE367:AG367"/>
    <mergeCell ref="AH367:AJ367"/>
    <mergeCell ref="AK367:AM367"/>
    <mergeCell ref="P367:R367"/>
    <mergeCell ref="S367:U367"/>
    <mergeCell ref="V367:X367"/>
    <mergeCell ref="Y367:AA367"/>
    <mergeCell ref="AD314:AF314"/>
    <mergeCell ref="AG314:AI314"/>
    <mergeCell ref="P339:R339"/>
    <mergeCell ref="S339:U339"/>
    <mergeCell ref="V339:X339"/>
    <mergeCell ref="P314:R314"/>
    <mergeCell ref="U314:W314"/>
    <mergeCell ref="X314:Z314"/>
    <mergeCell ref="AA314:AC314"/>
    <mergeCell ref="S258:U258"/>
    <mergeCell ref="V258:X258"/>
    <mergeCell ref="Y258:AA258"/>
    <mergeCell ref="AB258:AD258"/>
    <mergeCell ref="P158:R158"/>
    <mergeCell ref="P187:R187"/>
    <mergeCell ref="P216:R216"/>
    <mergeCell ref="P258:R25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4" r:id="rId2"/>
  <rowBreaks count="3" manualBreakCount="3">
    <brk id="32" max="255" man="1"/>
    <brk id="66" max="255" man="1"/>
    <brk id="114" max="255" man="1"/>
  </rowBreaks>
  <colBreaks count="1" manualBreakCount="1">
    <brk id="1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3.00390625" style="440" customWidth="1"/>
    <col min="2" max="2" width="63.140625" style="324" customWidth="1"/>
    <col min="3" max="16384" width="8.7109375" style="324" customWidth="1"/>
  </cols>
  <sheetData>
    <row r="1" spans="1:4" ht="12.75">
      <c r="A1" s="599" t="s">
        <v>257</v>
      </c>
      <c r="B1" s="599"/>
      <c r="C1" s="599"/>
      <c r="D1" s="599"/>
    </row>
    <row r="2" spans="1:4" ht="12.75">
      <c r="A2" s="599" t="s">
        <v>147</v>
      </c>
      <c r="B2" s="599"/>
      <c r="C2" s="599"/>
      <c r="D2" s="599"/>
    </row>
    <row r="4" spans="1:4" ht="12.75">
      <c r="A4" s="441" t="s">
        <v>258</v>
      </c>
      <c r="B4" s="442" t="s">
        <v>259</v>
      </c>
      <c r="C4" s="600" t="s">
        <v>260</v>
      </c>
      <c r="D4" s="600"/>
    </row>
    <row r="5" spans="1:4" ht="12.75">
      <c r="A5" s="443">
        <v>1</v>
      </c>
      <c r="B5" s="444" t="s">
        <v>261</v>
      </c>
      <c r="C5" s="601">
        <f>Grig1!B58</f>
        <v>1037</v>
      </c>
      <c r="D5" s="601"/>
    </row>
    <row r="6" spans="1:4" ht="12.75">
      <c r="A6" s="445">
        <v>2</v>
      </c>
      <c r="B6" s="446" t="s">
        <v>262</v>
      </c>
      <c r="C6" s="602">
        <f>Grig1!H58</f>
        <v>92</v>
      </c>
      <c r="D6" s="602"/>
    </row>
    <row r="7" spans="1:4" ht="12.75">
      <c r="A7" s="445">
        <v>3</v>
      </c>
      <c r="B7" s="446" t="s">
        <v>263</v>
      </c>
      <c r="C7" s="602">
        <f>Комментарии!B28</f>
        <v>6</v>
      </c>
      <c r="D7" s="602"/>
    </row>
    <row r="8" spans="1:4" ht="12.75">
      <c r="A8" s="445">
        <v>4</v>
      </c>
      <c r="B8" s="446" t="s">
        <v>264</v>
      </c>
      <c r="C8" s="602">
        <f>Grig1!K58</f>
        <v>112</v>
      </c>
      <c r="D8" s="602"/>
    </row>
    <row r="9" spans="1:4" ht="12.75">
      <c r="A9" s="445">
        <v>5</v>
      </c>
      <c r="B9" s="446" t="s">
        <v>265</v>
      </c>
      <c r="C9" s="602">
        <f>Grig1!N58</f>
        <v>357</v>
      </c>
      <c r="D9" s="602"/>
    </row>
    <row r="10" spans="1:4" ht="12.75">
      <c r="A10" s="447">
        <v>6</v>
      </c>
      <c r="B10" s="448" t="s">
        <v>266</v>
      </c>
      <c r="C10" s="603">
        <f>Posled2!B66/1000</f>
        <v>585684</v>
      </c>
      <c r="D10" s="603"/>
    </row>
    <row r="12" spans="1:2" ht="12.75">
      <c r="A12" s="604" t="s">
        <v>267</v>
      </c>
      <c r="B12" s="604"/>
    </row>
    <row r="13" spans="1:2" ht="12.75">
      <c r="A13" s="604" t="s">
        <v>268</v>
      </c>
      <c r="B13" s="604"/>
    </row>
  </sheetData>
  <sheetProtection selectLockedCells="1" selectUnlockedCells="1"/>
  <mergeCells count="11">
    <mergeCell ref="C10:D10"/>
    <mergeCell ref="A12:B12"/>
    <mergeCell ref="A13:B13"/>
    <mergeCell ref="C6:D6"/>
    <mergeCell ref="C7:D7"/>
    <mergeCell ref="C8:D8"/>
    <mergeCell ref="C9:D9"/>
    <mergeCell ref="A1:D1"/>
    <mergeCell ref="A2:D2"/>
    <mergeCell ref="C4:D4"/>
    <mergeCell ref="C5:D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99"/>
  <sheetViews>
    <sheetView view="pageBreakPreview" zoomScaleSheetLayoutView="10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A34" sqref="A34:IV34"/>
    </sheetView>
  </sheetViews>
  <sheetFormatPr defaultColWidth="9.140625" defaultRowHeight="12.75"/>
  <cols>
    <col min="1" max="1" width="45.7109375" style="324" customWidth="1"/>
    <col min="2" max="16384" width="8.7109375" style="324" customWidth="1"/>
  </cols>
  <sheetData>
    <row r="1" spans="1:37" ht="12.75">
      <c r="A1" s="449"/>
      <c r="B1" s="449">
        <v>2011</v>
      </c>
      <c r="C1" s="449">
        <v>2011</v>
      </c>
      <c r="D1" s="449">
        <v>2011</v>
      </c>
      <c r="E1" s="449">
        <v>2011</v>
      </c>
      <c r="F1" s="449">
        <v>2011</v>
      </c>
      <c r="G1" s="449">
        <v>2011</v>
      </c>
      <c r="H1" s="449">
        <v>2011</v>
      </c>
      <c r="I1" s="449">
        <v>2011</v>
      </c>
      <c r="J1" s="449">
        <v>2011</v>
      </c>
      <c r="K1" s="449">
        <v>2011</v>
      </c>
      <c r="L1" s="449">
        <v>2011</v>
      </c>
      <c r="M1" s="449">
        <v>2011</v>
      </c>
      <c r="N1" s="450">
        <v>2011</v>
      </c>
      <c r="O1" s="450">
        <v>2011</v>
      </c>
      <c r="P1" s="450">
        <v>2011</v>
      </c>
      <c r="Q1" s="324">
        <v>2011</v>
      </c>
      <c r="R1" s="324">
        <v>2011</v>
      </c>
      <c r="S1" s="324">
        <v>2011</v>
      </c>
      <c r="T1" s="324">
        <v>2012</v>
      </c>
      <c r="U1" s="324">
        <v>2012</v>
      </c>
      <c r="V1" s="324">
        <v>2012</v>
      </c>
      <c r="W1" s="324">
        <v>2012</v>
      </c>
      <c r="X1" s="324">
        <v>2012</v>
      </c>
      <c r="Y1" s="324">
        <v>2012</v>
      </c>
      <c r="Z1" s="324">
        <v>2012</v>
      </c>
      <c r="AA1" s="324">
        <v>2012</v>
      </c>
      <c r="AB1" s="324">
        <v>2012</v>
      </c>
      <c r="AC1" s="324">
        <v>2012</v>
      </c>
      <c r="AD1" s="324">
        <v>2012</v>
      </c>
      <c r="AE1" s="324">
        <v>2012</v>
      </c>
      <c r="AF1" s="324">
        <v>2012</v>
      </c>
      <c r="AG1" s="324">
        <v>2012</v>
      </c>
      <c r="AH1" s="324">
        <v>2012</v>
      </c>
      <c r="AI1" s="324">
        <v>2012</v>
      </c>
      <c r="AJ1" s="324">
        <v>2012</v>
      </c>
      <c r="AK1" s="324">
        <v>2012</v>
      </c>
    </row>
    <row r="2" spans="1:37" ht="12.75">
      <c r="A2" s="449"/>
      <c r="B2" s="449" t="s">
        <v>269</v>
      </c>
      <c r="C2" s="449" t="s">
        <v>270</v>
      </c>
      <c r="D2" s="449" t="s">
        <v>271</v>
      </c>
      <c r="E2" s="449" t="s">
        <v>272</v>
      </c>
      <c r="F2" s="449" t="s">
        <v>273</v>
      </c>
      <c r="G2" s="449" t="s">
        <v>274</v>
      </c>
      <c r="H2" s="449" t="s">
        <v>275</v>
      </c>
      <c r="I2" s="449" t="s">
        <v>276</v>
      </c>
      <c r="J2" s="449" t="s">
        <v>277</v>
      </c>
      <c r="K2" s="449" t="s">
        <v>278</v>
      </c>
      <c r="L2" s="449" t="s">
        <v>279</v>
      </c>
      <c r="M2" s="449" t="s">
        <v>280</v>
      </c>
      <c r="N2" s="450" t="s">
        <v>281</v>
      </c>
      <c r="O2" s="450" t="s">
        <v>282</v>
      </c>
      <c r="P2" s="450" t="s">
        <v>283</v>
      </c>
      <c r="Q2" s="324" t="s">
        <v>284</v>
      </c>
      <c r="R2" s="324" t="s">
        <v>285</v>
      </c>
      <c r="S2" s="324" t="s">
        <v>286</v>
      </c>
      <c r="T2" s="324" t="s">
        <v>269</v>
      </c>
      <c r="U2" s="324" t="s">
        <v>270</v>
      </c>
      <c r="V2" s="324" t="s">
        <v>271</v>
      </c>
      <c r="W2" s="324" t="s">
        <v>272</v>
      </c>
      <c r="X2" s="324" t="s">
        <v>273</v>
      </c>
      <c r="Y2" s="324" t="s">
        <v>274</v>
      </c>
      <c r="Z2" s="324" t="s">
        <v>275</v>
      </c>
      <c r="AA2" s="324" t="s">
        <v>276</v>
      </c>
      <c r="AB2" s="324" t="s">
        <v>277</v>
      </c>
      <c r="AC2" s="324" t="s">
        <v>278</v>
      </c>
      <c r="AD2" s="324" t="s">
        <v>279</v>
      </c>
      <c r="AE2" s="324" t="s">
        <v>280</v>
      </c>
      <c r="AF2" s="324" t="s">
        <v>281</v>
      </c>
      <c r="AG2" s="324" t="s">
        <v>282</v>
      </c>
      <c r="AH2" s="324" t="s">
        <v>283</v>
      </c>
      <c r="AI2" s="324" t="s">
        <v>284</v>
      </c>
      <c r="AJ2" s="324" t="s">
        <v>285</v>
      </c>
      <c r="AK2" s="324" t="s">
        <v>286</v>
      </c>
    </row>
    <row r="3" spans="1:37" ht="12.75">
      <c r="A3" s="440" t="s">
        <v>287</v>
      </c>
      <c r="B3" s="440">
        <v>76</v>
      </c>
      <c r="C3" s="440">
        <v>4388550</v>
      </c>
      <c r="D3" s="440">
        <v>6</v>
      </c>
      <c r="E3" s="440">
        <v>3</v>
      </c>
      <c r="F3" s="440">
        <v>10</v>
      </c>
      <c r="G3" s="440">
        <v>37835000</v>
      </c>
      <c r="H3" s="440">
        <v>5</v>
      </c>
      <c r="I3" s="440">
        <v>0</v>
      </c>
      <c r="J3" s="440">
        <v>0</v>
      </c>
      <c r="K3" s="440">
        <v>28</v>
      </c>
      <c r="L3" s="440">
        <v>1485</v>
      </c>
      <c r="M3" s="440">
        <v>0</v>
      </c>
      <c r="N3" s="324">
        <v>0</v>
      </c>
      <c r="O3" s="324">
        <v>0</v>
      </c>
      <c r="P3" s="324">
        <v>0</v>
      </c>
      <c r="Q3" s="324">
        <v>1</v>
      </c>
      <c r="R3" s="324">
        <v>0</v>
      </c>
      <c r="S3" s="324">
        <v>0</v>
      </c>
      <c r="T3" s="324">
        <v>52</v>
      </c>
      <c r="U3" s="324">
        <v>4906357</v>
      </c>
      <c r="V3" s="324">
        <v>8</v>
      </c>
      <c r="W3" s="324">
        <v>6</v>
      </c>
      <c r="X3" s="324">
        <v>7</v>
      </c>
      <c r="Y3" s="324">
        <v>29753000</v>
      </c>
      <c r="Z3" s="324">
        <v>5</v>
      </c>
      <c r="AA3" s="324">
        <v>0</v>
      </c>
      <c r="AB3" s="324">
        <v>0</v>
      </c>
      <c r="AC3" s="324">
        <v>19</v>
      </c>
      <c r="AD3" s="324">
        <v>1200</v>
      </c>
      <c r="AE3" s="324">
        <v>0</v>
      </c>
      <c r="AF3" s="324">
        <v>0</v>
      </c>
      <c r="AG3" s="324">
        <v>6</v>
      </c>
      <c r="AH3" s="324">
        <v>0</v>
      </c>
      <c r="AI3" s="324">
        <v>0</v>
      </c>
      <c r="AJ3" s="324">
        <v>0</v>
      </c>
      <c r="AK3" s="324">
        <v>0</v>
      </c>
    </row>
    <row r="4" spans="1:37" ht="12.75">
      <c r="A4" s="440" t="s">
        <v>288</v>
      </c>
      <c r="B4" s="440">
        <v>23</v>
      </c>
      <c r="C4" s="440">
        <v>2349782</v>
      </c>
      <c r="D4" s="440">
        <v>5</v>
      </c>
      <c r="E4" s="440">
        <v>5</v>
      </c>
      <c r="F4" s="440">
        <v>3</v>
      </c>
      <c r="G4" s="440">
        <v>10780000</v>
      </c>
      <c r="H4" s="440">
        <v>1</v>
      </c>
      <c r="I4" s="440">
        <v>86</v>
      </c>
      <c r="J4" s="440">
        <v>0</v>
      </c>
      <c r="K4" s="440">
        <v>17</v>
      </c>
      <c r="L4" s="440">
        <v>1022</v>
      </c>
      <c r="M4" s="440">
        <v>1</v>
      </c>
      <c r="N4" s="324">
        <v>6</v>
      </c>
      <c r="O4" s="324">
        <v>77</v>
      </c>
      <c r="P4" s="324">
        <v>0</v>
      </c>
      <c r="Q4" s="324">
        <v>46</v>
      </c>
      <c r="R4" s="324">
        <v>0</v>
      </c>
      <c r="S4" s="324">
        <v>0</v>
      </c>
      <c r="T4" s="324">
        <v>23</v>
      </c>
      <c r="U4" s="324">
        <v>662500</v>
      </c>
      <c r="V4" s="324">
        <v>1</v>
      </c>
      <c r="W4" s="324">
        <v>1</v>
      </c>
      <c r="X4" s="324">
        <v>0</v>
      </c>
      <c r="Y4" s="324">
        <v>9860000</v>
      </c>
      <c r="Z4" s="324">
        <v>0</v>
      </c>
      <c r="AA4" s="324">
        <v>0</v>
      </c>
      <c r="AB4" s="324">
        <v>0</v>
      </c>
      <c r="AC4" s="324">
        <v>13</v>
      </c>
      <c r="AD4" s="324">
        <v>392</v>
      </c>
      <c r="AE4" s="324">
        <v>1</v>
      </c>
      <c r="AF4" s="324">
        <v>10</v>
      </c>
      <c r="AG4" s="324">
        <v>0</v>
      </c>
      <c r="AH4" s="324">
        <v>0</v>
      </c>
      <c r="AI4" s="324">
        <v>1</v>
      </c>
      <c r="AJ4" s="324">
        <v>0</v>
      </c>
      <c r="AK4" s="324">
        <v>0</v>
      </c>
    </row>
    <row r="5" spans="1:37" ht="12.75">
      <c r="A5" s="440" t="s">
        <v>289</v>
      </c>
      <c r="B5" s="440">
        <v>36</v>
      </c>
      <c r="C5" s="440">
        <v>1882588</v>
      </c>
      <c r="D5" s="440">
        <v>0</v>
      </c>
      <c r="E5" s="440">
        <v>0</v>
      </c>
      <c r="F5" s="440">
        <v>1</v>
      </c>
      <c r="G5" s="440">
        <v>12265000</v>
      </c>
      <c r="H5" s="440">
        <v>0</v>
      </c>
      <c r="I5" s="440">
        <v>0</v>
      </c>
      <c r="J5" s="440">
        <v>0</v>
      </c>
      <c r="K5" s="440">
        <v>11</v>
      </c>
      <c r="L5" s="440">
        <v>854</v>
      </c>
      <c r="M5" s="440">
        <v>3</v>
      </c>
      <c r="N5" s="324">
        <v>0</v>
      </c>
      <c r="O5" s="324">
        <v>0</v>
      </c>
      <c r="P5" s="324">
        <v>0</v>
      </c>
      <c r="Q5" s="324">
        <v>0</v>
      </c>
      <c r="R5" s="324">
        <v>0</v>
      </c>
      <c r="S5" s="324">
        <v>0</v>
      </c>
      <c r="T5" s="324">
        <v>38</v>
      </c>
      <c r="U5" s="324">
        <v>1339820</v>
      </c>
      <c r="V5" s="324">
        <v>1</v>
      </c>
      <c r="W5" s="324">
        <v>2</v>
      </c>
      <c r="X5" s="324">
        <v>2</v>
      </c>
      <c r="Y5" s="324">
        <v>20360000</v>
      </c>
      <c r="Z5" s="324">
        <v>2</v>
      </c>
      <c r="AA5" s="324">
        <v>0</v>
      </c>
      <c r="AB5" s="324">
        <v>0</v>
      </c>
      <c r="AC5" s="324">
        <v>20</v>
      </c>
      <c r="AD5" s="324">
        <v>898</v>
      </c>
      <c r="AE5" s="324">
        <v>1</v>
      </c>
      <c r="AF5" s="324">
        <v>0</v>
      </c>
      <c r="AG5" s="324">
        <v>6</v>
      </c>
      <c r="AH5" s="324">
        <v>0</v>
      </c>
      <c r="AI5" s="324">
        <v>0</v>
      </c>
      <c r="AJ5" s="324">
        <v>0</v>
      </c>
      <c r="AK5" s="324">
        <v>0</v>
      </c>
    </row>
    <row r="6" spans="1:37" ht="12.75">
      <c r="A6" s="440" t="s">
        <v>290</v>
      </c>
      <c r="B6" s="440">
        <v>53</v>
      </c>
      <c r="C6" s="440">
        <v>3482390</v>
      </c>
      <c r="D6" s="440">
        <v>4</v>
      </c>
      <c r="E6" s="440">
        <v>2</v>
      </c>
      <c r="F6" s="440">
        <v>14</v>
      </c>
      <c r="G6" s="440">
        <v>33124000</v>
      </c>
      <c r="H6" s="440">
        <v>6</v>
      </c>
      <c r="I6" s="440">
        <v>4</v>
      </c>
      <c r="J6" s="440">
        <v>15</v>
      </c>
      <c r="K6" s="440">
        <v>25</v>
      </c>
      <c r="L6" s="440">
        <v>1769</v>
      </c>
      <c r="M6" s="440">
        <v>0</v>
      </c>
      <c r="N6" s="324">
        <v>0</v>
      </c>
      <c r="O6" s="324">
        <v>20</v>
      </c>
      <c r="P6" s="324">
        <v>0</v>
      </c>
      <c r="Q6" s="324">
        <v>2</v>
      </c>
      <c r="R6" s="324">
        <v>8</v>
      </c>
      <c r="S6" s="324">
        <v>5</v>
      </c>
      <c r="T6" s="324">
        <v>50</v>
      </c>
      <c r="U6" s="324">
        <v>2341227</v>
      </c>
      <c r="V6" s="324">
        <v>2</v>
      </c>
      <c r="W6" s="324">
        <v>5</v>
      </c>
      <c r="X6" s="324">
        <v>1</v>
      </c>
      <c r="Y6" s="324">
        <v>15920000</v>
      </c>
      <c r="Z6" s="324">
        <v>6</v>
      </c>
      <c r="AA6" s="324">
        <v>4</v>
      </c>
      <c r="AB6" s="324">
        <v>2</v>
      </c>
      <c r="AC6" s="324">
        <v>27</v>
      </c>
      <c r="AD6" s="324">
        <v>1149</v>
      </c>
      <c r="AE6" s="324">
        <v>1</v>
      </c>
      <c r="AF6" s="324">
        <v>1</v>
      </c>
      <c r="AG6" s="324">
        <v>21</v>
      </c>
      <c r="AH6" s="324">
        <v>0</v>
      </c>
      <c r="AI6" s="324">
        <v>1</v>
      </c>
      <c r="AJ6" s="324">
        <v>208</v>
      </c>
      <c r="AK6" s="324">
        <v>10</v>
      </c>
    </row>
    <row r="7" spans="1:37" ht="12.75">
      <c r="A7" s="440" t="s">
        <v>291</v>
      </c>
      <c r="B7" s="440">
        <v>33</v>
      </c>
      <c r="C7" s="440">
        <v>2922500</v>
      </c>
      <c r="D7" s="440">
        <v>2</v>
      </c>
      <c r="E7" s="440">
        <v>2</v>
      </c>
      <c r="F7" s="440">
        <v>5</v>
      </c>
      <c r="G7" s="440">
        <v>47650000</v>
      </c>
      <c r="H7" s="440">
        <v>3</v>
      </c>
      <c r="I7" s="440">
        <v>2</v>
      </c>
      <c r="J7" s="440">
        <v>20</v>
      </c>
      <c r="K7" s="440">
        <v>21</v>
      </c>
      <c r="L7" s="440">
        <v>1304</v>
      </c>
      <c r="M7" s="440">
        <v>0</v>
      </c>
      <c r="N7" s="324">
        <v>0</v>
      </c>
      <c r="O7" s="324">
        <v>4</v>
      </c>
      <c r="P7" s="324">
        <v>0</v>
      </c>
      <c r="Q7" s="324">
        <v>0</v>
      </c>
      <c r="R7" s="324">
        <v>1</v>
      </c>
      <c r="S7" s="324">
        <v>9</v>
      </c>
      <c r="T7" s="324">
        <v>34</v>
      </c>
      <c r="U7" s="324">
        <v>4619076</v>
      </c>
      <c r="V7" s="324">
        <v>1</v>
      </c>
      <c r="W7" s="324">
        <v>2</v>
      </c>
      <c r="X7" s="324">
        <v>0</v>
      </c>
      <c r="Y7" s="324">
        <v>39750000</v>
      </c>
      <c r="Z7" s="324">
        <v>2</v>
      </c>
      <c r="AA7" s="324">
        <v>6</v>
      </c>
      <c r="AB7" s="324">
        <v>0</v>
      </c>
      <c r="AC7" s="324">
        <v>12</v>
      </c>
      <c r="AD7" s="324">
        <v>834</v>
      </c>
      <c r="AE7" s="324">
        <v>0</v>
      </c>
      <c r="AF7" s="324">
        <v>0</v>
      </c>
      <c r="AG7" s="324">
        <v>2</v>
      </c>
      <c r="AH7" s="324">
        <v>0</v>
      </c>
      <c r="AI7" s="324">
        <v>0</v>
      </c>
      <c r="AJ7" s="324">
        <v>53</v>
      </c>
      <c r="AK7" s="324">
        <v>0</v>
      </c>
    </row>
    <row r="8" spans="1:37" ht="12.75">
      <c r="A8" s="440" t="s">
        <v>292</v>
      </c>
      <c r="B8" s="440">
        <v>74</v>
      </c>
      <c r="C8" s="440">
        <v>3651500</v>
      </c>
      <c r="D8" s="440">
        <v>9</v>
      </c>
      <c r="E8" s="440">
        <v>3</v>
      </c>
      <c r="F8" s="440">
        <v>17</v>
      </c>
      <c r="G8" s="440">
        <v>48961000</v>
      </c>
      <c r="H8" s="440">
        <v>5</v>
      </c>
      <c r="I8" s="440">
        <v>0</v>
      </c>
      <c r="J8" s="440">
        <v>0</v>
      </c>
      <c r="K8" s="440">
        <v>37</v>
      </c>
      <c r="L8" s="440">
        <v>1257</v>
      </c>
      <c r="M8" s="440">
        <v>1</v>
      </c>
      <c r="N8" s="324">
        <v>0</v>
      </c>
      <c r="O8" s="324">
        <v>4</v>
      </c>
      <c r="P8" s="324">
        <v>0</v>
      </c>
      <c r="Q8" s="324">
        <v>1</v>
      </c>
      <c r="R8" s="324">
        <v>0</v>
      </c>
      <c r="S8" s="324">
        <v>0</v>
      </c>
      <c r="T8" s="324">
        <v>80</v>
      </c>
      <c r="U8" s="324">
        <v>5282250</v>
      </c>
      <c r="V8" s="324">
        <v>13</v>
      </c>
      <c r="W8" s="324">
        <v>9</v>
      </c>
      <c r="X8" s="324">
        <v>33</v>
      </c>
      <c r="Y8" s="324">
        <v>36420000</v>
      </c>
      <c r="Z8" s="324">
        <v>6</v>
      </c>
      <c r="AA8" s="324">
        <v>0</v>
      </c>
      <c r="AB8" s="324">
        <v>1</v>
      </c>
      <c r="AC8" s="324">
        <v>31</v>
      </c>
      <c r="AD8" s="324">
        <v>1181</v>
      </c>
      <c r="AE8" s="324">
        <v>1</v>
      </c>
      <c r="AF8" s="324">
        <v>0</v>
      </c>
      <c r="AG8" s="324">
        <v>33</v>
      </c>
      <c r="AH8" s="324">
        <v>0</v>
      </c>
      <c r="AI8" s="324">
        <v>0</v>
      </c>
      <c r="AJ8" s="324">
        <v>0</v>
      </c>
      <c r="AK8" s="324">
        <v>10</v>
      </c>
    </row>
    <row r="9" spans="1:37" ht="12.75">
      <c r="A9" s="324" t="s">
        <v>293</v>
      </c>
      <c r="B9" s="324">
        <v>29</v>
      </c>
      <c r="C9" s="324">
        <v>1344000</v>
      </c>
      <c r="D9" s="324">
        <v>2</v>
      </c>
      <c r="E9" s="324">
        <v>0</v>
      </c>
      <c r="F9" s="324">
        <v>0</v>
      </c>
      <c r="G9" s="324">
        <v>18585000</v>
      </c>
      <c r="H9" s="324">
        <v>3</v>
      </c>
      <c r="I9" s="324">
        <v>0</v>
      </c>
      <c r="J9" s="324">
        <v>0</v>
      </c>
      <c r="K9" s="324">
        <v>18</v>
      </c>
      <c r="L9" s="324">
        <v>1559</v>
      </c>
      <c r="M9" s="324">
        <v>0</v>
      </c>
      <c r="N9" s="324">
        <v>0</v>
      </c>
      <c r="O9" s="324">
        <v>0</v>
      </c>
      <c r="P9" s="324">
        <v>0</v>
      </c>
      <c r="Q9" s="324">
        <v>0</v>
      </c>
      <c r="R9" s="324">
        <v>7</v>
      </c>
      <c r="S9" s="324">
        <v>5</v>
      </c>
      <c r="T9" s="324">
        <v>28</v>
      </c>
      <c r="U9" s="324">
        <v>6549623</v>
      </c>
      <c r="V9" s="324">
        <v>1</v>
      </c>
      <c r="W9" s="324">
        <v>1</v>
      </c>
      <c r="X9" s="324">
        <v>15</v>
      </c>
      <c r="Y9" s="324">
        <v>23710000</v>
      </c>
      <c r="Z9" s="324">
        <v>4</v>
      </c>
      <c r="AA9" s="324">
        <v>0</v>
      </c>
      <c r="AB9" s="324">
        <v>0</v>
      </c>
      <c r="AC9" s="324">
        <v>10</v>
      </c>
      <c r="AD9" s="324">
        <v>477</v>
      </c>
      <c r="AE9" s="324">
        <v>3</v>
      </c>
      <c r="AF9" s="324">
        <v>0</v>
      </c>
      <c r="AG9" s="324">
        <v>0</v>
      </c>
      <c r="AH9" s="324">
        <v>0</v>
      </c>
      <c r="AI9" s="324">
        <v>0</v>
      </c>
      <c r="AJ9" s="324">
        <v>0</v>
      </c>
      <c r="AK9" s="324">
        <v>0</v>
      </c>
    </row>
    <row r="10" spans="1:37" ht="12.75">
      <c r="A10" s="324" t="s">
        <v>294</v>
      </c>
      <c r="B10" s="324">
        <v>25</v>
      </c>
      <c r="C10" s="324">
        <v>705651</v>
      </c>
      <c r="D10" s="324">
        <v>5</v>
      </c>
      <c r="E10" s="324">
        <v>0</v>
      </c>
      <c r="F10" s="324">
        <v>3</v>
      </c>
      <c r="G10" s="324">
        <v>4973300</v>
      </c>
      <c r="H10" s="324">
        <v>7</v>
      </c>
      <c r="I10" s="324">
        <v>1</v>
      </c>
      <c r="J10" s="324">
        <v>1</v>
      </c>
      <c r="K10" s="324">
        <v>10</v>
      </c>
      <c r="L10" s="324">
        <v>1085</v>
      </c>
      <c r="M10" s="324">
        <v>1</v>
      </c>
      <c r="N10" s="324">
        <v>0</v>
      </c>
      <c r="O10" s="324">
        <v>1</v>
      </c>
      <c r="P10" s="324">
        <v>0</v>
      </c>
      <c r="Q10" s="324">
        <v>1</v>
      </c>
      <c r="R10" s="324">
        <v>0</v>
      </c>
      <c r="S10" s="324">
        <v>0</v>
      </c>
      <c r="T10" s="324">
        <v>20</v>
      </c>
      <c r="U10" s="324">
        <v>1363500</v>
      </c>
      <c r="V10" s="324">
        <v>1</v>
      </c>
      <c r="W10" s="324">
        <v>0</v>
      </c>
      <c r="X10" s="324">
        <v>1</v>
      </c>
      <c r="Y10" s="324">
        <v>9220000</v>
      </c>
      <c r="Z10" s="324">
        <v>0</v>
      </c>
      <c r="AA10" s="324">
        <v>1</v>
      </c>
      <c r="AB10" s="324">
        <v>1</v>
      </c>
      <c r="AC10" s="324">
        <v>13</v>
      </c>
      <c r="AD10" s="324">
        <v>547</v>
      </c>
      <c r="AE10" s="324">
        <v>1</v>
      </c>
      <c r="AF10" s="324">
        <v>0</v>
      </c>
      <c r="AG10" s="324">
        <v>2</v>
      </c>
      <c r="AH10" s="324">
        <v>0</v>
      </c>
      <c r="AI10" s="324">
        <v>1</v>
      </c>
      <c r="AJ10" s="324">
        <v>9</v>
      </c>
      <c r="AK10" s="324">
        <v>5</v>
      </c>
    </row>
    <row r="11" spans="1:37" ht="12.75">
      <c r="A11" s="324" t="s">
        <v>295</v>
      </c>
      <c r="B11" s="451">
        <v>26</v>
      </c>
      <c r="C11" s="451">
        <v>1488804</v>
      </c>
      <c r="D11" s="451">
        <v>3</v>
      </c>
      <c r="E11" s="451">
        <v>1</v>
      </c>
      <c r="F11" s="451">
        <v>4</v>
      </c>
      <c r="G11" s="451">
        <v>7877000</v>
      </c>
      <c r="H11" s="451">
        <v>0</v>
      </c>
      <c r="I11" s="451">
        <v>0</v>
      </c>
      <c r="J11" s="451">
        <v>0</v>
      </c>
      <c r="K11" s="451">
        <v>34</v>
      </c>
      <c r="L11" s="451">
        <v>1407</v>
      </c>
      <c r="M11" s="451">
        <v>0</v>
      </c>
      <c r="N11" s="324">
        <v>0</v>
      </c>
      <c r="O11" s="324">
        <v>11</v>
      </c>
      <c r="P11" s="324">
        <v>0</v>
      </c>
      <c r="Q11" s="324">
        <v>0</v>
      </c>
      <c r="R11" s="324">
        <v>0</v>
      </c>
      <c r="S11" s="324">
        <v>0</v>
      </c>
      <c r="T11" s="324">
        <v>15</v>
      </c>
      <c r="U11" s="324">
        <v>638500</v>
      </c>
      <c r="V11" s="324">
        <v>1</v>
      </c>
      <c r="W11" s="324">
        <v>1</v>
      </c>
      <c r="X11" s="324">
        <v>0</v>
      </c>
      <c r="Y11" s="324">
        <v>5160000</v>
      </c>
      <c r="Z11" s="324">
        <v>0</v>
      </c>
      <c r="AA11" s="324">
        <v>0</v>
      </c>
      <c r="AB11" s="324">
        <v>1500</v>
      </c>
      <c r="AC11" s="324">
        <v>6</v>
      </c>
      <c r="AD11" s="324">
        <v>250</v>
      </c>
      <c r="AE11" s="324">
        <v>0</v>
      </c>
      <c r="AF11" s="324">
        <v>0</v>
      </c>
      <c r="AG11" s="324">
        <v>0</v>
      </c>
      <c r="AH11" s="324">
        <v>0</v>
      </c>
      <c r="AI11" s="324">
        <v>0</v>
      </c>
      <c r="AJ11" s="324">
        <v>0</v>
      </c>
      <c r="AK11" s="324">
        <v>0</v>
      </c>
    </row>
    <row r="12" spans="1:37" ht="12.75">
      <c r="A12" s="324" t="s">
        <v>296</v>
      </c>
      <c r="B12" s="451">
        <v>30</v>
      </c>
      <c r="C12" s="451">
        <v>1663500</v>
      </c>
      <c r="D12" s="451">
        <v>7</v>
      </c>
      <c r="E12" s="451">
        <v>2</v>
      </c>
      <c r="F12" s="451">
        <v>1</v>
      </c>
      <c r="G12" s="451">
        <v>20530000</v>
      </c>
      <c r="H12" s="451">
        <v>1</v>
      </c>
      <c r="I12" s="451">
        <v>0</v>
      </c>
      <c r="J12" s="451">
        <v>0</v>
      </c>
      <c r="K12" s="451">
        <v>27</v>
      </c>
      <c r="L12" s="451">
        <v>3009</v>
      </c>
      <c r="M12" s="451">
        <v>0</v>
      </c>
      <c r="N12" s="324">
        <v>0</v>
      </c>
      <c r="O12" s="324">
        <v>20</v>
      </c>
      <c r="P12" s="324">
        <v>0</v>
      </c>
      <c r="Q12" s="324">
        <v>0</v>
      </c>
      <c r="R12" s="324">
        <v>0</v>
      </c>
      <c r="S12" s="324">
        <v>0</v>
      </c>
      <c r="T12" s="324">
        <v>38</v>
      </c>
      <c r="U12" s="324">
        <v>2475000</v>
      </c>
      <c r="V12" s="324">
        <v>1</v>
      </c>
      <c r="W12" s="324">
        <v>0</v>
      </c>
      <c r="X12" s="324">
        <v>3</v>
      </c>
      <c r="Y12" s="324">
        <v>27770000</v>
      </c>
      <c r="Z12" s="324">
        <v>0</v>
      </c>
      <c r="AA12" s="324">
        <v>0</v>
      </c>
      <c r="AB12" s="324">
        <v>0</v>
      </c>
      <c r="AC12" s="324">
        <v>33</v>
      </c>
      <c r="AD12" s="324">
        <v>2161</v>
      </c>
      <c r="AE12" s="324">
        <v>1</v>
      </c>
      <c r="AF12" s="324">
        <v>0</v>
      </c>
      <c r="AG12" s="324">
        <v>30</v>
      </c>
      <c r="AH12" s="324">
        <v>0</v>
      </c>
      <c r="AI12" s="324">
        <v>1</v>
      </c>
      <c r="AJ12" s="324">
        <v>1</v>
      </c>
      <c r="AK12" s="324">
        <v>0</v>
      </c>
    </row>
    <row r="13" spans="1:37" ht="12.75">
      <c r="A13" s="324" t="s">
        <v>297</v>
      </c>
      <c r="B13" s="451">
        <v>38</v>
      </c>
      <c r="C13" s="451">
        <v>2848400</v>
      </c>
      <c r="D13" s="451">
        <v>4</v>
      </c>
      <c r="E13" s="451">
        <v>3</v>
      </c>
      <c r="F13" s="451">
        <v>1</v>
      </c>
      <c r="G13" s="451">
        <v>10120000</v>
      </c>
      <c r="H13" s="451">
        <v>1</v>
      </c>
      <c r="I13" s="451">
        <v>1</v>
      </c>
      <c r="J13" s="451">
        <v>1</v>
      </c>
      <c r="K13" s="451">
        <v>41</v>
      </c>
      <c r="L13" s="451">
        <v>2017</v>
      </c>
      <c r="M13" s="451">
        <v>4</v>
      </c>
      <c r="N13" s="324">
        <v>0</v>
      </c>
      <c r="O13" s="324">
        <v>5</v>
      </c>
      <c r="P13" s="324">
        <v>0</v>
      </c>
      <c r="Q13" s="324">
        <v>1</v>
      </c>
      <c r="R13" s="324">
        <v>8</v>
      </c>
      <c r="S13" s="324">
        <v>10</v>
      </c>
      <c r="T13" s="324">
        <v>36</v>
      </c>
      <c r="U13" s="324">
        <v>3066000</v>
      </c>
      <c r="V13" s="324">
        <v>5</v>
      </c>
      <c r="W13" s="324">
        <v>0</v>
      </c>
      <c r="X13" s="324">
        <v>1</v>
      </c>
      <c r="Y13" s="324">
        <v>9030000</v>
      </c>
      <c r="Z13" s="324">
        <v>2</v>
      </c>
      <c r="AA13" s="324">
        <v>0</v>
      </c>
      <c r="AB13" s="324">
        <v>0</v>
      </c>
      <c r="AC13" s="324">
        <v>31</v>
      </c>
      <c r="AD13" s="324">
        <v>1908</v>
      </c>
      <c r="AE13" s="324">
        <v>2</v>
      </c>
      <c r="AF13" s="324">
        <v>0</v>
      </c>
      <c r="AG13" s="324">
        <v>0</v>
      </c>
      <c r="AH13" s="324">
        <v>0</v>
      </c>
      <c r="AI13" s="324">
        <v>0</v>
      </c>
      <c r="AJ13" s="324">
        <v>0</v>
      </c>
      <c r="AK13" s="324">
        <v>0</v>
      </c>
    </row>
    <row r="14" spans="1:37" ht="12.75">
      <c r="A14" s="324" t="s">
        <v>298</v>
      </c>
      <c r="B14" s="451">
        <v>34</v>
      </c>
      <c r="C14" s="451">
        <v>1674620</v>
      </c>
      <c r="D14" s="451">
        <v>5</v>
      </c>
      <c r="E14" s="451">
        <v>2</v>
      </c>
      <c r="F14" s="451">
        <v>10</v>
      </c>
      <c r="G14" s="451">
        <v>15000000</v>
      </c>
      <c r="H14" s="451">
        <v>1</v>
      </c>
      <c r="I14" s="451">
        <v>5</v>
      </c>
      <c r="J14" s="451">
        <v>0</v>
      </c>
      <c r="K14" s="451">
        <v>28</v>
      </c>
      <c r="L14" s="451">
        <v>1182</v>
      </c>
      <c r="M14" s="451">
        <v>1</v>
      </c>
      <c r="N14" s="324">
        <v>2</v>
      </c>
      <c r="O14" s="324">
        <v>9</v>
      </c>
      <c r="P14" s="324">
        <v>0</v>
      </c>
      <c r="Q14" s="324">
        <v>2</v>
      </c>
      <c r="R14" s="324">
        <v>0</v>
      </c>
      <c r="S14" s="324">
        <v>0</v>
      </c>
      <c r="T14" s="324">
        <v>37</v>
      </c>
      <c r="U14" s="324">
        <v>1937300</v>
      </c>
      <c r="V14" s="324">
        <v>7</v>
      </c>
      <c r="W14" s="324">
        <v>2</v>
      </c>
      <c r="X14" s="324">
        <v>2</v>
      </c>
      <c r="Y14" s="324">
        <v>18280000</v>
      </c>
      <c r="Z14" s="324">
        <v>2</v>
      </c>
      <c r="AA14" s="324">
        <v>0</v>
      </c>
      <c r="AB14" s="324">
        <v>5</v>
      </c>
      <c r="AC14" s="324">
        <v>29</v>
      </c>
      <c r="AD14" s="324">
        <v>1284</v>
      </c>
      <c r="AE14" s="324">
        <v>2</v>
      </c>
      <c r="AF14" s="324">
        <v>0</v>
      </c>
      <c r="AG14" s="324">
        <v>7</v>
      </c>
      <c r="AH14" s="324">
        <v>0</v>
      </c>
      <c r="AI14" s="324">
        <v>0</v>
      </c>
      <c r="AJ14" s="324">
        <v>0</v>
      </c>
      <c r="AK14" s="324">
        <v>0</v>
      </c>
    </row>
    <row r="15" spans="1:37" ht="12.75">
      <c r="A15" s="324" t="s">
        <v>299</v>
      </c>
      <c r="B15" s="451">
        <v>19</v>
      </c>
      <c r="C15" s="451">
        <v>897200</v>
      </c>
      <c r="D15" s="451">
        <v>3</v>
      </c>
      <c r="E15" s="451">
        <v>2</v>
      </c>
      <c r="F15" s="451">
        <v>3</v>
      </c>
      <c r="G15" s="451">
        <v>5175000</v>
      </c>
      <c r="H15" s="451">
        <v>1</v>
      </c>
      <c r="I15" s="451">
        <v>0</v>
      </c>
      <c r="J15" s="451">
        <v>3</v>
      </c>
      <c r="K15" s="451">
        <v>10</v>
      </c>
      <c r="L15" s="451">
        <v>620</v>
      </c>
      <c r="M15" s="451">
        <v>2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21</v>
      </c>
      <c r="U15" s="324">
        <v>2113500</v>
      </c>
      <c r="V15" s="324">
        <v>4</v>
      </c>
      <c r="W15" s="324">
        <v>0</v>
      </c>
      <c r="X15" s="324">
        <v>0</v>
      </c>
      <c r="Y15" s="324">
        <v>7250000</v>
      </c>
      <c r="Z15" s="324">
        <v>2</v>
      </c>
      <c r="AA15" s="324">
        <v>2</v>
      </c>
      <c r="AB15" s="324">
        <v>2</v>
      </c>
      <c r="AC15" s="324">
        <v>20</v>
      </c>
      <c r="AD15" s="324">
        <v>2519</v>
      </c>
      <c r="AE15" s="324">
        <v>2</v>
      </c>
      <c r="AF15" s="324">
        <v>0</v>
      </c>
      <c r="AG15" s="324">
        <v>0</v>
      </c>
      <c r="AH15" s="324">
        <v>0</v>
      </c>
      <c r="AI15" s="324">
        <v>2</v>
      </c>
      <c r="AJ15" s="324">
        <v>0</v>
      </c>
      <c r="AK15" s="324">
        <v>20</v>
      </c>
    </row>
    <row r="16" spans="1:37" ht="12.75">
      <c r="A16" s="324" t="s">
        <v>300</v>
      </c>
      <c r="B16" s="451">
        <v>33</v>
      </c>
      <c r="C16" s="451">
        <v>3056400</v>
      </c>
      <c r="D16" s="451">
        <v>2</v>
      </c>
      <c r="E16" s="451">
        <v>1</v>
      </c>
      <c r="F16" s="451">
        <v>1</v>
      </c>
      <c r="G16" s="451">
        <v>10100000</v>
      </c>
      <c r="H16" s="451">
        <v>2</v>
      </c>
      <c r="I16" s="451">
        <v>4</v>
      </c>
      <c r="J16" s="451">
        <v>12</v>
      </c>
      <c r="K16" s="451">
        <v>19</v>
      </c>
      <c r="L16" s="451">
        <v>1434</v>
      </c>
      <c r="M16" s="451">
        <v>0</v>
      </c>
      <c r="N16" s="324">
        <v>0</v>
      </c>
      <c r="O16" s="324">
        <v>0</v>
      </c>
      <c r="P16" s="324">
        <v>0</v>
      </c>
      <c r="Q16" s="324">
        <v>0</v>
      </c>
      <c r="R16" s="324">
        <v>0</v>
      </c>
      <c r="S16" s="324">
        <v>0</v>
      </c>
      <c r="T16" s="324">
        <v>24</v>
      </c>
      <c r="U16" s="324">
        <v>1185000</v>
      </c>
      <c r="V16" s="324">
        <v>7</v>
      </c>
      <c r="W16" s="324">
        <v>0</v>
      </c>
      <c r="X16" s="324">
        <v>1</v>
      </c>
      <c r="Y16" s="324">
        <v>7255000</v>
      </c>
      <c r="Z16" s="324">
        <v>1</v>
      </c>
      <c r="AA16" s="324">
        <v>0</v>
      </c>
      <c r="AB16" s="324">
        <v>0</v>
      </c>
      <c r="AC16" s="324">
        <v>16</v>
      </c>
      <c r="AD16" s="324">
        <v>378</v>
      </c>
      <c r="AE16" s="324">
        <v>0</v>
      </c>
      <c r="AF16" s="324">
        <v>0</v>
      </c>
      <c r="AG16" s="324">
        <v>0</v>
      </c>
      <c r="AH16" s="324">
        <v>0</v>
      </c>
      <c r="AI16" s="324">
        <v>0</v>
      </c>
      <c r="AJ16" s="324">
        <v>0</v>
      </c>
      <c r="AK16" s="324">
        <v>0</v>
      </c>
    </row>
    <row r="17" spans="1:37" s="641" customFormat="1" ht="12.75">
      <c r="A17" s="641" t="s">
        <v>301</v>
      </c>
      <c r="B17" s="646">
        <v>38</v>
      </c>
      <c r="C17" s="646">
        <v>1751500</v>
      </c>
      <c r="D17" s="646">
        <v>4</v>
      </c>
      <c r="E17" s="646">
        <v>2</v>
      </c>
      <c r="F17" s="646">
        <v>12</v>
      </c>
      <c r="G17" s="646">
        <v>13850000</v>
      </c>
      <c r="H17" s="646">
        <v>4</v>
      </c>
      <c r="I17" s="646">
        <v>0</v>
      </c>
      <c r="J17" s="646">
        <v>14</v>
      </c>
      <c r="K17" s="646">
        <v>26</v>
      </c>
      <c r="L17" s="646">
        <v>842</v>
      </c>
      <c r="M17" s="646">
        <v>5</v>
      </c>
      <c r="N17" s="641">
        <v>20</v>
      </c>
      <c r="O17" s="641">
        <v>4</v>
      </c>
      <c r="P17" s="641">
        <v>0</v>
      </c>
      <c r="Q17" s="641">
        <v>0</v>
      </c>
      <c r="R17" s="641">
        <v>0</v>
      </c>
      <c r="S17" s="641">
        <v>0</v>
      </c>
      <c r="T17" s="641">
        <v>52</v>
      </c>
      <c r="U17" s="641">
        <v>3368000</v>
      </c>
      <c r="V17" s="641">
        <v>6</v>
      </c>
      <c r="W17" s="641">
        <v>7</v>
      </c>
      <c r="X17" s="641">
        <v>34</v>
      </c>
      <c r="Y17" s="641">
        <v>14760000</v>
      </c>
      <c r="Z17" s="641">
        <v>14</v>
      </c>
      <c r="AA17" s="641">
        <v>11</v>
      </c>
      <c r="AB17" s="641">
        <v>0</v>
      </c>
      <c r="AC17" s="641">
        <v>12</v>
      </c>
      <c r="AD17" s="641">
        <v>1174</v>
      </c>
      <c r="AE17" s="641">
        <v>5</v>
      </c>
      <c r="AF17" s="641">
        <v>0</v>
      </c>
      <c r="AG17" s="641">
        <v>0</v>
      </c>
      <c r="AH17" s="641">
        <v>0</v>
      </c>
      <c r="AI17" s="641">
        <v>0</v>
      </c>
      <c r="AJ17" s="641">
        <v>0</v>
      </c>
      <c r="AK17" s="641">
        <v>0</v>
      </c>
    </row>
    <row r="18" spans="1:37" ht="12.75">
      <c r="A18" s="324" t="s">
        <v>302</v>
      </c>
      <c r="B18" s="451">
        <v>87</v>
      </c>
      <c r="C18" s="451">
        <v>4818131</v>
      </c>
      <c r="D18" s="451">
        <v>8</v>
      </c>
      <c r="E18" s="451">
        <v>8</v>
      </c>
      <c r="F18" s="451">
        <v>6</v>
      </c>
      <c r="G18" s="451">
        <v>33955000</v>
      </c>
      <c r="H18" s="451">
        <v>13</v>
      </c>
      <c r="I18" s="451">
        <v>1</v>
      </c>
      <c r="J18" s="451">
        <v>1</v>
      </c>
      <c r="K18" s="451">
        <v>52</v>
      </c>
      <c r="L18" s="451">
        <v>1958</v>
      </c>
      <c r="M18" s="451">
        <v>5</v>
      </c>
      <c r="N18" s="324">
        <v>0</v>
      </c>
      <c r="O18" s="324">
        <v>9</v>
      </c>
      <c r="P18" s="324">
        <v>0</v>
      </c>
      <c r="Q18" s="324">
        <v>0</v>
      </c>
      <c r="R18" s="324">
        <v>0</v>
      </c>
      <c r="S18" s="324">
        <v>4</v>
      </c>
      <c r="T18" s="324">
        <v>85</v>
      </c>
      <c r="U18" s="324">
        <v>4954238</v>
      </c>
      <c r="V18" s="324">
        <v>5</v>
      </c>
      <c r="W18" s="324">
        <v>7</v>
      </c>
      <c r="X18" s="324">
        <v>9</v>
      </c>
      <c r="Y18" s="324">
        <v>33333000</v>
      </c>
      <c r="Z18" s="324">
        <v>13</v>
      </c>
      <c r="AA18" s="324">
        <v>2</v>
      </c>
      <c r="AB18" s="324">
        <v>0</v>
      </c>
      <c r="AC18" s="324">
        <v>42</v>
      </c>
      <c r="AD18" s="324">
        <v>1372</v>
      </c>
      <c r="AE18" s="324">
        <v>5</v>
      </c>
      <c r="AF18" s="324">
        <v>0</v>
      </c>
      <c r="AG18" s="324">
        <v>17</v>
      </c>
      <c r="AH18" s="324">
        <v>0</v>
      </c>
      <c r="AI18" s="324">
        <v>2</v>
      </c>
      <c r="AJ18" s="324">
        <v>5</v>
      </c>
      <c r="AK18" s="324">
        <v>0</v>
      </c>
    </row>
    <row r="19" spans="1:37" ht="12.75">
      <c r="A19" s="324" t="s">
        <v>303</v>
      </c>
      <c r="B19" s="451">
        <v>10</v>
      </c>
      <c r="C19" s="451">
        <v>791000</v>
      </c>
      <c r="D19" s="451">
        <v>1</v>
      </c>
      <c r="E19" s="451">
        <v>0</v>
      </c>
      <c r="F19" s="451">
        <v>0</v>
      </c>
      <c r="G19" s="451">
        <v>4200000</v>
      </c>
      <c r="H19" s="451">
        <v>0</v>
      </c>
      <c r="I19" s="451">
        <v>0</v>
      </c>
      <c r="J19" s="451">
        <v>0</v>
      </c>
      <c r="K19" s="451">
        <v>6</v>
      </c>
      <c r="L19" s="451">
        <v>250</v>
      </c>
      <c r="M19" s="451">
        <v>0</v>
      </c>
      <c r="N19" s="324">
        <v>0</v>
      </c>
      <c r="O19" s="324">
        <v>0</v>
      </c>
      <c r="P19" s="324">
        <v>0</v>
      </c>
      <c r="Q19" s="324">
        <v>0</v>
      </c>
      <c r="R19" s="324">
        <v>0</v>
      </c>
      <c r="S19" s="324">
        <v>0</v>
      </c>
      <c r="T19" s="324">
        <v>14</v>
      </c>
      <c r="U19" s="324">
        <v>1029610</v>
      </c>
      <c r="V19" s="324">
        <v>0</v>
      </c>
      <c r="W19" s="324">
        <v>0</v>
      </c>
      <c r="X19" s="324">
        <v>0</v>
      </c>
      <c r="Y19" s="324">
        <v>6520000</v>
      </c>
      <c r="Z19" s="324">
        <v>1</v>
      </c>
      <c r="AA19" s="324">
        <v>0</v>
      </c>
      <c r="AB19" s="324">
        <v>0</v>
      </c>
      <c r="AC19" s="324">
        <v>7</v>
      </c>
      <c r="AD19" s="324">
        <v>396</v>
      </c>
      <c r="AE19" s="324">
        <v>1</v>
      </c>
      <c r="AF19" s="324">
        <v>0</v>
      </c>
      <c r="AG19" s="324">
        <v>8</v>
      </c>
      <c r="AH19" s="324">
        <v>0</v>
      </c>
      <c r="AI19" s="324">
        <v>1</v>
      </c>
      <c r="AJ19" s="324">
        <v>9</v>
      </c>
      <c r="AK19" s="324">
        <v>0</v>
      </c>
    </row>
    <row r="20" spans="1:37" ht="12.75">
      <c r="A20" s="324" t="s">
        <v>304</v>
      </c>
      <c r="B20" s="451">
        <v>57</v>
      </c>
      <c r="C20" s="451">
        <v>2810131</v>
      </c>
      <c r="D20" s="451">
        <v>8</v>
      </c>
      <c r="E20" s="451">
        <v>4</v>
      </c>
      <c r="F20" s="451">
        <v>22</v>
      </c>
      <c r="G20" s="451">
        <v>26155000</v>
      </c>
      <c r="H20" s="451">
        <v>0</v>
      </c>
      <c r="I20" s="451">
        <v>0</v>
      </c>
      <c r="J20" s="451">
        <v>0</v>
      </c>
      <c r="K20" s="451">
        <v>32</v>
      </c>
      <c r="L20" s="451">
        <v>1441</v>
      </c>
      <c r="M20" s="451">
        <v>3</v>
      </c>
      <c r="N20" s="324">
        <v>0</v>
      </c>
      <c r="O20" s="324">
        <v>0</v>
      </c>
      <c r="P20" s="324">
        <v>0</v>
      </c>
      <c r="Q20" s="324">
        <v>0</v>
      </c>
      <c r="R20" s="324">
        <v>0</v>
      </c>
      <c r="S20" s="324">
        <v>0</v>
      </c>
      <c r="T20" s="324">
        <v>44</v>
      </c>
      <c r="U20" s="324">
        <v>3230400</v>
      </c>
      <c r="V20" s="324">
        <v>3</v>
      </c>
      <c r="W20" s="324">
        <v>2</v>
      </c>
      <c r="X20" s="324">
        <v>11</v>
      </c>
      <c r="Y20" s="324">
        <v>21775000</v>
      </c>
      <c r="Z20" s="324">
        <v>3</v>
      </c>
      <c r="AA20" s="324">
        <v>0</v>
      </c>
      <c r="AB20" s="324">
        <v>0</v>
      </c>
      <c r="AC20" s="324">
        <v>25</v>
      </c>
      <c r="AD20" s="324">
        <v>1136</v>
      </c>
      <c r="AE20" s="324">
        <v>10</v>
      </c>
      <c r="AF20" s="324">
        <v>2</v>
      </c>
      <c r="AG20" s="324">
        <v>10</v>
      </c>
      <c r="AH20" s="324">
        <v>0</v>
      </c>
      <c r="AI20" s="324">
        <v>0</v>
      </c>
      <c r="AJ20" s="324">
        <v>5</v>
      </c>
      <c r="AK20" s="324">
        <v>0</v>
      </c>
    </row>
    <row r="21" spans="1:37" ht="12.75">
      <c r="A21" s="324" t="s">
        <v>305</v>
      </c>
      <c r="B21" s="451">
        <v>46</v>
      </c>
      <c r="C21" s="451">
        <v>2589700</v>
      </c>
      <c r="D21" s="451">
        <v>5</v>
      </c>
      <c r="E21" s="451">
        <v>1</v>
      </c>
      <c r="F21" s="451">
        <v>3</v>
      </c>
      <c r="G21" s="451">
        <v>11005000</v>
      </c>
      <c r="H21" s="451">
        <v>3</v>
      </c>
      <c r="I21" s="451">
        <v>4</v>
      </c>
      <c r="J21" s="451">
        <v>15</v>
      </c>
      <c r="K21" s="451">
        <v>31</v>
      </c>
      <c r="L21" s="451">
        <v>1250</v>
      </c>
      <c r="M21" s="451">
        <v>4</v>
      </c>
      <c r="N21" s="324">
        <v>0</v>
      </c>
      <c r="O21" s="324">
        <v>6</v>
      </c>
      <c r="P21" s="324">
        <v>0</v>
      </c>
      <c r="Q21" s="324">
        <v>0</v>
      </c>
      <c r="R21" s="324">
        <v>0</v>
      </c>
      <c r="S21" s="324">
        <v>0</v>
      </c>
      <c r="T21" s="324">
        <v>39</v>
      </c>
      <c r="U21" s="324">
        <v>1902500</v>
      </c>
      <c r="V21" s="324">
        <v>2</v>
      </c>
      <c r="W21" s="324">
        <v>9</v>
      </c>
      <c r="X21" s="324">
        <v>1</v>
      </c>
      <c r="Y21" s="324">
        <v>10701000</v>
      </c>
      <c r="Z21" s="324">
        <v>1</v>
      </c>
      <c r="AA21" s="324">
        <v>0</v>
      </c>
      <c r="AB21" s="324">
        <v>0</v>
      </c>
      <c r="AC21" s="324">
        <v>21</v>
      </c>
      <c r="AD21" s="324">
        <v>808</v>
      </c>
      <c r="AE21" s="324">
        <v>4</v>
      </c>
      <c r="AF21" s="324">
        <v>0</v>
      </c>
      <c r="AG21" s="324">
        <v>4</v>
      </c>
      <c r="AH21" s="324">
        <v>0</v>
      </c>
      <c r="AI21" s="324">
        <v>1</v>
      </c>
      <c r="AJ21" s="324">
        <v>1</v>
      </c>
      <c r="AK21" s="324">
        <v>0</v>
      </c>
    </row>
    <row r="22" spans="1:37" ht="12.75">
      <c r="A22" s="324" t="s">
        <v>306</v>
      </c>
      <c r="B22" s="451">
        <v>18</v>
      </c>
      <c r="C22" s="451">
        <v>697000</v>
      </c>
      <c r="D22" s="451">
        <v>1</v>
      </c>
      <c r="E22" s="451">
        <v>2</v>
      </c>
      <c r="F22" s="451">
        <v>3</v>
      </c>
      <c r="G22" s="451">
        <v>7000000</v>
      </c>
      <c r="H22" s="451">
        <v>0</v>
      </c>
      <c r="I22" s="451">
        <v>4</v>
      </c>
      <c r="J22" s="451">
        <v>0</v>
      </c>
      <c r="K22" s="451">
        <v>2</v>
      </c>
      <c r="L22" s="451">
        <v>530</v>
      </c>
      <c r="M22" s="451">
        <v>1</v>
      </c>
      <c r="N22" s="324">
        <v>11</v>
      </c>
      <c r="O22" s="324">
        <v>0</v>
      </c>
      <c r="P22" s="324">
        <v>0</v>
      </c>
      <c r="Q22" s="324">
        <v>0</v>
      </c>
      <c r="R22" s="324">
        <v>1</v>
      </c>
      <c r="S22" s="324">
        <v>1</v>
      </c>
      <c r="T22" s="324">
        <v>21</v>
      </c>
      <c r="U22" s="324">
        <v>802370</v>
      </c>
      <c r="V22" s="324">
        <v>0</v>
      </c>
      <c r="W22" s="324">
        <v>1</v>
      </c>
      <c r="X22" s="324">
        <v>1</v>
      </c>
      <c r="Y22" s="324">
        <v>13763000</v>
      </c>
      <c r="Z22" s="324">
        <v>1</v>
      </c>
      <c r="AA22" s="324">
        <v>1</v>
      </c>
      <c r="AB22" s="324">
        <v>3</v>
      </c>
      <c r="AC22" s="324">
        <v>1</v>
      </c>
      <c r="AD22" s="324">
        <v>104</v>
      </c>
      <c r="AE22" s="324">
        <v>1</v>
      </c>
      <c r="AF22" s="324">
        <v>0</v>
      </c>
      <c r="AG22" s="324">
        <v>5</v>
      </c>
      <c r="AH22" s="324">
        <v>0</v>
      </c>
      <c r="AI22" s="324">
        <v>0</v>
      </c>
      <c r="AJ22" s="324">
        <v>0</v>
      </c>
      <c r="AK22" s="324">
        <v>0</v>
      </c>
    </row>
    <row r="23" spans="1:37" ht="12.75">
      <c r="A23" s="324" t="s">
        <v>307</v>
      </c>
      <c r="B23" s="451">
        <v>19</v>
      </c>
      <c r="C23" s="451">
        <v>1249000</v>
      </c>
      <c r="D23" s="451">
        <v>0</v>
      </c>
      <c r="E23" s="451">
        <v>0</v>
      </c>
      <c r="F23" s="451">
        <v>1</v>
      </c>
      <c r="G23" s="451">
        <v>5690000</v>
      </c>
      <c r="H23" s="451">
        <v>4</v>
      </c>
      <c r="I23" s="451">
        <v>0</v>
      </c>
      <c r="J23" s="451">
        <v>0</v>
      </c>
      <c r="K23" s="451">
        <v>11</v>
      </c>
      <c r="L23" s="451">
        <v>520</v>
      </c>
      <c r="M23" s="451">
        <v>0</v>
      </c>
      <c r="N23" s="324">
        <v>0</v>
      </c>
      <c r="O23" s="324">
        <v>4</v>
      </c>
      <c r="P23" s="324">
        <v>0</v>
      </c>
      <c r="Q23" s="324">
        <v>0</v>
      </c>
      <c r="R23" s="324">
        <v>0</v>
      </c>
      <c r="S23" s="324">
        <v>0</v>
      </c>
      <c r="T23" s="324">
        <v>17</v>
      </c>
      <c r="U23" s="324">
        <v>748500</v>
      </c>
      <c r="V23" s="324">
        <v>2</v>
      </c>
      <c r="W23" s="324">
        <v>0</v>
      </c>
      <c r="X23" s="324">
        <v>0</v>
      </c>
      <c r="Y23" s="324">
        <v>11600000</v>
      </c>
      <c r="Z23" s="324">
        <v>0</v>
      </c>
      <c r="AA23" s="324">
        <v>0</v>
      </c>
      <c r="AB23" s="324">
        <v>0</v>
      </c>
      <c r="AC23" s="324">
        <v>17</v>
      </c>
      <c r="AD23" s="324">
        <v>641</v>
      </c>
      <c r="AE23" s="324">
        <v>0</v>
      </c>
      <c r="AF23" s="324">
        <v>0</v>
      </c>
      <c r="AG23" s="324">
        <v>5</v>
      </c>
      <c r="AH23" s="324">
        <v>0</v>
      </c>
      <c r="AI23" s="324">
        <v>0</v>
      </c>
      <c r="AJ23" s="324">
        <v>0</v>
      </c>
      <c r="AK23" s="324">
        <v>0</v>
      </c>
    </row>
    <row r="24" spans="1:37" ht="12.75">
      <c r="A24" s="324" t="s">
        <v>308</v>
      </c>
      <c r="B24" s="451">
        <v>58</v>
      </c>
      <c r="C24" s="451">
        <v>4055278</v>
      </c>
      <c r="D24" s="451">
        <v>3</v>
      </c>
      <c r="E24" s="451">
        <v>7</v>
      </c>
      <c r="F24" s="451">
        <v>43</v>
      </c>
      <c r="G24" s="451">
        <v>41325000</v>
      </c>
      <c r="H24" s="451">
        <v>20</v>
      </c>
      <c r="I24" s="451">
        <v>0</v>
      </c>
      <c r="J24" s="451">
        <v>0</v>
      </c>
      <c r="K24" s="451">
        <v>16</v>
      </c>
      <c r="L24" s="451">
        <v>272</v>
      </c>
      <c r="M24" s="451">
        <v>0</v>
      </c>
      <c r="N24" s="324">
        <v>0</v>
      </c>
      <c r="O24" s="324"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62</v>
      </c>
      <c r="U24" s="324">
        <v>7965575</v>
      </c>
      <c r="V24" s="324">
        <v>5</v>
      </c>
      <c r="W24" s="324">
        <v>10</v>
      </c>
      <c r="X24" s="324">
        <v>61</v>
      </c>
      <c r="Y24" s="324">
        <v>41791000</v>
      </c>
      <c r="Z24" s="324">
        <v>13</v>
      </c>
      <c r="AA24" s="324">
        <v>0</v>
      </c>
      <c r="AB24" s="324">
        <v>0</v>
      </c>
      <c r="AC24" s="324">
        <v>8</v>
      </c>
      <c r="AD24" s="324">
        <v>220</v>
      </c>
      <c r="AE24" s="324">
        <v>3</v>
      </c>
      <c r="AF24" s="324">
        <v>0</v>
      </c>
      <c r="AG24" s="324">
        <v>0</v>
      </c>
      <c r="AH24" s="324">
        <v>0</v>
      </c>
      <c r="AI24" s="324">
        <v>0</v>
      </c>
      <c r="AJ24" s="324">
        <v>0</v>
      </c>
      <c r="AK24" s="324">
        <v>0</v>
      </c>
    </row>
    <row r="25" spans="1:37" ht="12.75">
      <c r="A25" s="324" t="s">
        <v>309</v>
      </c>
      <c r="B25" s="451">
        <v>92</v>
      </c>
      <c r="C25" s="451">
        <v>4153100</v>
      </c>
      <c r="D25" s="451">
        <v>5</v>
      </c>
      <c r="E25" s="451">
        <v>17</v>
      </c>
      <c r="F25" s="451">
        <v>63</v>
      </c>
      <c r="G25" s="451">
        <v>44415000</v>
      </c>
      <c r="H25" s="451">
        <v>13</v>
      </c>
      <c r="I25" s="451">
        <v>0</v>
      </c>
      <c r="J25" s="451">
        <v>0</v>
      </c>
      <c r="K25" s="451">
        <v>18</v>
      </c>
      <c r="L25" s="451">
        <v>593</v>
      </c>
      <c r="M25" s="451">
        <v>4</v>
      </c>
      <c r="N25" s="324">
        <v>0</v>
      </c>
      <c r="O25" s="324">
        <v>0</v>
      </c>
      <c r="P25" s="324">
        <v>0</v>
      </c>
      <c r="Q25" s="324">
        <v>0</v>
      </c>
      <c r="R25" s="324">
        <v>0</v>
      </c>
      <c r="S25" s="324">
        <v>0</v>
      </c>
      <c r="T25" s="324">
        <v>90</v>
      </c>
      <c r="U25" s="324">
        <v>7582326</v>
      </c>
      <c r="V25" s="324">
        <v>7</v>
      </c>
      <c r="W25" s="324">
        <v>16</v>
      </c>
      <c r="X25" s="324">
        <v>85</v>
      </c>
      <c r="Y25" s="324">
        <v>72431000</v>
      </c>
      <c r="Z25" s="324">
        <v>15</v>
      </c>
      <c r="AA25" s="324">
        <v>0</v>
      </c>
      <c r="AB25" s="324">
        <v>0</v>
      </c>
      <c r="AC25" s="324">
        <v>14</v>
      </c>
      <c r="AD25" s="324">
        <v>456</v>
      </c>
      <c r="AE25" s="324">
        <v>5</v>
      </c>
      <c r="AF25" s="324">
        <v>0</v>
      </c>
      <c r="AG25" s="324">
        <v>0</v>
      </c>
      <c r="AH25" s="324">
        <v>0</v>
      </c>
      <c r="AI25" s="324">
        <v>0</v>
      </c>
      <c r="AJ25" s="324">
        <v>0</v>
      </c>
      <c r="AK25" s="324">
        <v>0</v>
      </c>
    </row>
    <row r="26" spans="1:37" ht="12.75">
      <c r="A26" s="324" t="s">
        <v>310</v>
      </c>
      <c r="B26" s="451">
        <v>84</v>
      </c>
      <c r="C26" s="451">
        <v>5800179</v>
      </c>
      <c r="D26" s="451">
        <v>8</v>
      </c>
      <c r="E26" s="451">
        <v>20</v>
      </c>
      <c r="F26" s="451">
        <v>56</v>
      </c>
      <c r="G26" s="451">
        <v>43820000</v>
      </c>
      <c r="H26" s="451">
        <v>32</v>
      </c>
      <c r="I26" s="451">
        <v>0</v>
      </c>
      <c r="J26" s="451">
        <v>0</v>
      </c>
      <c r="K26" s="451">
        <v>12</v>
      </c>
      <c r="L26" s="451">
        <v>209</v>
      </c>
      <c r="M26" s="451">
        <v>3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4">
        <v>0</v>
      </c>
      <c r="T26" s="324">
        <v>76</v>
      </c>
      <c r="U26" s="324">
        <v>4174505</v>
      </c>
      <c r="V26" s="324">
        <v>9</v>
      </c>
      <c r="W26" s="324">
        <v>23</v>
      </c>
      <c r="X26" s="324">
        <v>50</v>
      </c>
      <c r="Y26" s="324">
        <v>80475000</v>
      </c>
      <c r="Z26" s="324">
        <v>16</v>
      </c>
      <c r="AA26" s="324">
        <v>0</v>
      </c>
      <c r="AB26" s="324">
        <v>0</v>
      </c>
      <c r="AC26" s="324">
        <v>14</v>
      </c>
      <c r="AD26" s="324">
        <v>591</v>
      </c>
      <c r="AE26" s="324">
        <v>3</v>
      </c>
      <c r="AF26" s="324">
        <v>0</v>
      </c>
      <c r="AG26" s="324">
        <v>0</v>
      </c>
      <c r="AH26" s="324">
        <v>0</v>
      </c>
      <c r="AI26" s="324">
        <v>0</v>
      </c>
      <c r="AJ26" s="324">
        <v>0</v>
      </c>
      <c r="AK26" s="324">
        <v>0</v>
      </c>
    </row>
    <row r="27" spans="1:37" ht="12.75">
      <c r="A27" s="324" t="s">
        <v>41</v>
      </c>
      <c r="B27" s="451">
        <v>49</v>
      </c>
      <c r="C27" s="451">
        <v>1958963</v>
      </c>
      <c r="D27" s="451">
        <v>2</v>
      </c>
      <c r="E27" s="451">
        <v>9</v>
      </c>
      <c r="F27" s="451">
        <v>111</v>
      </c>
      <c r="G27" s="451">
        <v>11345000</v>
      </c>
      <c r="H27" s="451">
        <v>14</v>
      </c>
      <c r="I27" s="451">
        <v>0</v>
      </c>
      <c r="J27" s="451">
        <v>0</v>
      </c>
      <c r="K27" s="451">
        <v>1</v>
      </c>
      <c r="L27" s="451">
        <v>19</v>
      </c>
      <c r="M27" s="451">
        <v>1</v>
      </c>
      <c r="N27" s="324">
        <v>0</v>
      </c>
      <c r="O27" s="324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41</v>
      </c>
      <c r="U27" s="324">
        <v>1006600</v>
      </c>
      <c r="V27" s="324">
        <v>0</v>
      </c>
      <c r="W27" s="324">
        <v>8</v>
      </c>
      <c r="X27" s="324">
        <v>39</v>
      </c>
      <c r="Y27" s="324">
        <v>18797000</v>
      </c>
      <c r="Z27" s="324">
        <v>10</v>
      </c>
      <c r="AA27" s="324">
        <v>0</v>
      </c>
      <c r="AB27" s="324">
        <v>0</v>
      </c>
      <c r="AC27" s="324">
        <v>3</v>
      </c>
      <c r="AD27" s="324">
        <v>2531</v>
      </c>
      <c r="AE27" s="324">
        <v>1</v>
      </c>
      <c r="AF27" s="324">
        <v>0</v>
      </c>
      <c r="AG27" s="324">
        <v>0</v>
      </c>
      <c r="AH27" s="324">
        <v>0</v>
      </c>
      <c r="AI27" s="324">
        <v>0</v>
      </c>
      <c r="AJ27" s="324">
        <v>0</v>
      </c>
      <c r="AK27" s="324">
        <v>0</v>
      </c>
    </row>
    <row r="28" spans="1:37" ht="12.75">
      <c r="A28" s="324" t="s">
        <v>311</v>
      </c>
      <c r="B28" s="451">
        <v>1087</v>
      </c>
      <c r="C28" s="451">
        <v>63029867</v>
      </c>
      <c r="D28" s="451">
        <v>102</v>
      </c>
      <c r="E28" s="451">
        <v>96</v>
      </c>
      <c r="F28" s="451">
        <v>393</v>
      </c>
      <c r="G28" s="451">
        <v>525735300</v>
      </c>
      <c r="H28" s="451">
        <v>139</v>
      </c>
      <c r="I28" s="451">
        <v>112</v>
      </c>
      <c r="J28" s="451">
        <v>82</v>
      </c>
      <c r="K28" s="451">
        <v>533</v>
      </c>
      <c r="L28" s="451">
        <v>27888</v>
      </c>
      <c r="M28" s="451">
        <v>39</v>
      </c>
      <c r="N28" s="324">
        <v>39</v>
      </c>
      <c r="O28" s="324">
        <v>174</v>
      </c>
      <c r="P28" s="324">
        <v>0</v>
      </c>
      <c r="Q28" s="324">
        <v>54</v>
      </c>
      <c r="R28" s="324">
        <v>25</v>
      </c>
      <c r="S28" s="324">
        <v>34</v>
      </c>
      <c r="T28" s="324">
        <v>1037</v>
      </c>
      <c r="U28" s="324">
        <v>75244277</v>
      </c>
      <c r="V28" s="324">
        <v>92</v>
      </c>
      <c r="W28" s="324">
        <v>112</v>
      </c>
      <c r="X28" s="324">
        <v>357</v>
      </c>
      <c r="Y28" s="324">
        <v>585684000</v>
      </c>
      <c r="Z28" s="324">
        <v>119</v>
      </c>
      <c r="AA28" s="324">
        <v>27</v>
      </c>
      <c r="AB28" s="324">
        <v>1514</v>
      </c>
      <c r="AC28" s="324">
        <v>444</v>
      </c>
      <c r="AD28" s="324">
        <v>24607</v>
      </c>
      <c r="AE28" s="324">
        <v>53</v>
      </c>
      <c r="AF28" s="324">
        <v>13</v>
      </c>
      <c r="AG28" s="324">
        <v>156</v>
      </c>
      <c r="AH28" s="324">
        <v>0</v>
      </c>
      <c r="AI28" s="324">
        <v>10</v>
      </c>
      <c r="AJ28" s="324">
        <v>291</v>
      </c>
      <c r="AK28" s="324">
        <v>45</v>
      </c>
    </row>
    <row r="29" spans="1:37" ht="12.75">
      <c r="A29" s="324" t="s">
        <v>312</v>
      </c>
      <c r="B29" s="451">
        <v>10</v>
      </c>
      <c r="C29" s="451">
        <v>298000</v>
      </c>
      <c r="D29" s="451">
        <v>1</v>
      </c>
      <c r="E29" s="451">
        <v>0</v>
      </c>
      <c r="F29" s="451">
        <v>10</v>
      </c>
      <c r="G29" s="451">
        <v>8700000</v>
      </c>
      <c r="H29" s="451">
        <v>0</v>
      </c>
      <c r="I29" s="451">
        <v>0</v>
      </c>
      <c r="J29" s="451">
        <v>0</v>
      </c>
      <c r="K29" s="451">
        <v>0</v>
      </c>
      <c r="L29" s="451">
        <v>0</v>
      </c>
      <c r="M29" s="451">
        <v>0</v>
      </c>
      <c r="N29" s="324">
        <v>0</v>
      </c>
      <c r="O29" s="324">
        <v>0</v>
      </c>
      <c r="P29" s="324">
        <v>0</v>
      </c>
      <c r="Q29" s="324">
        <v>0</v>
      </c>
      <c r="R29" s="324">
        <v>0</v>
      </c>
      <c r="S29" s="324">
        <v>0</v>
      </c>
      <c r="T29" s="324">
        <v>28</v>
      </c>
      <c r="U29" s="324">
        <v>1154000</v>
      </c>
      <c r="V29" s="324">
        <v>7</v>
      </c>
      <c r="W29" s="324">
        <v>2</v>
      </c>
      <c r="X29" s="324">
        <v>3</v>
      </c>
      <c r="Y29" s="324">
        <v>18508000</v>
      </c>
      <c r="Z29" s="324">
        <v>4</v>
      </c>
      <c r="AA29" s="324">
        <v>0</v>
      </c>
      <c r="AB29" s="324">
        <v>0</v>
      </c>
      <c r="AC29" s="324">
        <v>5</v>
      </c>
      <c r="AD29" s="324">
        <v>86</v>
      </c>
      <c r="AE29" s="324">
        <v>0</v>
      </c>
      <c r="AF29" s="324">
        <v>0</v>
      </c>
      <c r="AG29" s="324">
        <v>0</v>
      </c>
      <c r="AH29" s="324">
        <v>0</v>
      </c>
      <c r="AI29" s="324">
        <v>0</v>
      </c>
      <c r="AJ29" s="324">
        <v>0</v>
      </c>
      <c r="AK29" s="324">
        <v>0</v>
      </c>
    </row>
    <row r="30" spans="1:37" ht="12.75">
      <c r="A30" s="324" t="s">
        <v>313</v>
      </c>
      <c r="B30" s="451">
        <v>12</v>
      </c>
      <c r="C30" s="451">
        <v>598000</v>
      </c>
      <c r="D30" s="451">
        <v>3</v>
      </c>
      <c r="E30" s="451">
        <v>0</v>
      </c>
      <c r="F30" s="451">
        <v>1</v>
      </c>
      <c r="G30" s="451">
        <v>9566000</v>
      </c>
      <c r="H30" s="451">
        <v>1</v>
      </c>
      <c r="I30" s="451">
        <v>0</v>
      </c>
      <c r="J30" s="451">
        <v>0</v>
      </c>
      <c r="K30" s="451">
        <v>2</v>
      </c>
      <c r="L30" s="451">
        <v>112</v>
      </c>
      <c r="M30" s="451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30</v>
      </c>
      <c r="U30" s="324">
        <v>1357250</v>
      </c>
      <c r="V30" s="324">
        <v>2</v>
      </c>
      <c r="W30" s="324">
        <v>4</v>
      </c>
      <c r="X30" s="324">
        <v>16</v>
      </c>
      <c r="Y30" s="324">
        <v>16575000</v>
      </c>
      <c r="Z30" s="324">
        <v>1</v>
      </c>
      <c r="AA30" s="324">
        <v>0</v>
      </c>
      <c r="AB30" s="324">
        <v>0</v>
      </c>
      <c r="AC30" s="324">
        <v>4</v>
      </c>
      <c r="AD30" s="324">
        <v>56</v>
      </c>
      <c r="AE30" s="324">
        <v>0</v>
      </c>
      <c r="AF30" s="324">
        <v>0</v>
      </c>
      <c r="AG30" s="324">
        <v>2</v>
      </c>
      <c r="AH30" s="324">
        <v>0</v>
      </c>
      <c r="AI30" s="324">
        <v>0</v>
      </c>
      <c r="AJ30" s="324">
        <v>0</v>
      </c>
      <c r="AK30" s="324">
        <v>0</v>
      </c>
    </row>
    <row r="31" spans="1:37" ht="12.75">
      <c r="A31" s="324" t="s">
        <v>314</v>
      </c>
      <c r="B31" s="451">
        <v>9</v>
      </c>
      <c r="C31" s="451">
        <v>329000</v>
      </c>
      <c r="D31" s="451">
        <v>0</v>
      </c>
      <c r="E31" s="451">
        <v>0</v>
      </c>
      <c r="F31" s="451">
        <v>0</v>
      </c>
      <c r="G31" s="451">
        <v>3400000</v>
      </c>
      <c r="H31" s="451">
        <v>0</v>
      </c>
      <c r="I31" s="451">
        <v>0</v>
      </c>
      <c r="J31" s="451">
        <v>0</v>
      </c>
      <c r="K31" s="451">
        <v>5</v>
      </c>
      <c r="L31" s="451">
        <v>156</v>
      </c>
      <c r="M31" s="451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324">
        <v>22</v>
      </c>
      <c r="U31" s="324">
        <v>1579400</v>
      </c>
      <c r="V31" s="324">
        <v>1</v>
      </c>
      <c r="W31" s="324">
        <v>1</v>
      </c>
      <c r="X31" s="324">
        <v>9</v>
      </c>
      <c r="Y31" s="324">
        <v>15195000</v>
      </c>
      <c r="Z31" s="324">
        <v>1</v>
      </c>
      <c r="AA31" s="324">
        <v>0</v>
      </c>
      <c r="AB31" s="324">
        <v>0</v>
      </c>
      <c r="AC31" s="324">
        <v>6</v>
      </c>
      <c r="AD31" s="324">
        <v>164</v>
      </c>
      <c r="AE31" s="324">
        <v>2</v>
      </c>
      <c r="AF31" s="324">
        <v>0</v>
      </c>
      <c r="AG31" s="324">
        <v>0</v>
      </c>
      <c r="AH31" s="324">
        <v>0</v>
      </c>
      <c r="AI31" s="324">
        <v>0</v>
      </c>
      <c r="AJ31" s="324">
        <v>0</v>
      </c>
      <c r="AK31" s="324">
        <v>0</v>
      </c>
    </row>
    <row r="32" spans="1:37" ht="12.75">
      <c r="A32" s="324" t="s">
        <v>198</v>
      </c>
      <c r="B32" s="451">
        <v>1</v>
      </c>
      <c r="C32" s="451">
        <v>30000</v>
      </c>
      <c r="D32" s="451">
        <v>0</v>
      </c>
      <c r="E32" s="451">
        <v>0</v>
      </c>
      <c r="F32" s="451">
        <v>0</v>
      </c>
      <c r="G32" s="451">
        <v>600000</v>
      </c>
      <c r="H32" s="451">
        <v>0</v>
      </c>
      <c r="I32" s="451">
        <v>0</v>
      </c>
      <c r="J32" s="451">
        <v>0</v>
      </c>
      <c r="K32" s="451">
        <v>0</v>
      </c>
      <c r="L32" s="451">
        <v>0</v>
      </c>
      <c r="M32" s="451">
        <v>0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4">
        <v>0</v>
      </c>
      <c r="T32" s="324">
        <v>13</v>
      </c>
      <c r="U32" s="324">
        <v>545000</v>
      </c>
      <c r="V32" s="324">
        <v>1</v>
      </c>
      <c r="W32" s="324">
        <v>0</v>
      </c>
      <c r="X32" s="324">
        <v>14</v>
      </c>
      <c r="Y32" s="324">
        <v>11380000</v>
      </c>
      <c r="Z32" s="324">
        <v>2</v>
      </c>
      <c r="AA32" s="324">
        <v>0</v>
      </c>
      <c r="AB32" s="324">
        <v>0</v>
      </c>
      <c r="AC32" s="324">
        <v>2</v>
      </c>
      <c r="AD32" s="324">
        <v>51</v>
      </c>
      <c r="AE32" s="324">
        <v>1</v>
      </c>
      <c r="AF32" s="324">
        <v>0</v>
      </c>
      <c r="AG32" s="324">
        <v>0</v>
      </c>
      <c r="AH32" s="324">
        <v>0</v>
      </c>
      <c r="AI32" s="324">
        <v>0</v>
      </c>
      <c r="AJ32" s="324">
        <v>0</v>
      </c>
      <c r="AK32" s="324">
        <v>0</v>
      </c>
    </row>
    <row r="33" spans="1:37" ht="12.75">
      <c r="A33" s="324" t="s">
        <v>199</v>
      </c>
      <c r="B33" s="451">
        <v>3</v>
      </c>
      <c r="C33" s="451">
        <v>60000</v>
      </c>
      <c r="D33" s="451">
        <v>0</v>
      </c>
      <c r="E33" s="451">
        <v>0</v>
      </c>
      <c r="F33" s="451">
        <v>0</v>
      </c>
      <c r="G33" s="451">
        <v>1500000</v>
      </c>
      <c r="H33" s="451">
        <v>0</v>
      </c>
      <c r="I33" s="451">
        <v>0</v>
      </c>
      <c r="J33" s="451">
        <v>0</v>
      </c>
      <c r="K33" s="451">
        <v>1</v>
      </c>
      <c r="L33" s="451">
        <v>20</v>
      </c>
      <c r="M33" s="451">
        <v>0</v>
      </c>
      <c r="N33" s="324">
        <v>0</v>
      </c>
      <c r="O33" s="324">
        <v>0</v>
      </c>
      <c r="P33" s="324">
        <v>0</v>
      </c>
      <c r="Q33" s="324">
        <v>0</v>
      </c>
      <c r="R33" s="324">
        <v>0</v>
      </c>
      <c r="S33" s="324">
        <v>0</v>
      </c>
      <c r="T33" s="324">
        <v>11</v>
      </c>
      <c r="U33" s="324">
        <v>1171000</v>
      </c>
      <c r="V33" s="324">
        <v>1</v>
      </c>
      <c r="W33" s="324">
        <v>0</v>
      </c>
      <c r="X33" s="324">
        <v>0</v>
      </c>
      <c r="Y33" s="324">
        <v>3500000</v>
      </c>
      <c r="Z33" s="324">
        <v>1</v>
      </c>
      <c r="AA33" s="324">
        <v>0</v>
      </c>
      <c r="AB33" s="324">
        <v>0</v>
      </c>
      <c r="AC33" s="324">
        <v>6</v>
      </c>
      <c r="AD33" s="324">
        <v>216</v>
      </c>
      <c r="AE33" s="324">
        <v>2</v>
      </c>
      <c r="AF33" s="324">
        <v>0</v>
      </c>
      <c r="AG33" s="324">
        <v>0</v>
      </c>
      <c r="AH33" s="324">
        <v>0</v>
      </c>
      <c r="AI33" s="324">
        <v>0</v>
      </c>
      <c r="AJ33" s="324">
        <v>0</v>
      </c>
      <c r="AK33" s="324">
        <v>0</v>
      </c>
    </row>
    <row r="34" spans="1:37" s="641" customFormat="1" ht="12.75">
      <c r="A34" s="641" t="s">
        <v>200</v>
      </c>
      <c r="B34" s="646">
        <v>2</v>
      </c>
      <c r="C34" s="646">
        <v>11000</v>
      </c>
      <c r="D34" s="646">
        <v>2</v>
      </c>
      <c r="E34" s="646">
        <v>0</v>
      </c>
      <c r="F34" s="646">
        <v>6</v>
      </c>
      <c r="G34" s="646">
        <v>850000</v>
      </c>
      <c r="H34" s="646">
        <v>0</v>
      </c>
      <c r="I34" s="646">
        <v>0</v>
      </c>
      <c r="J34" s="646">
        <v>0</v>
      </c>
      <c r="K34" s="646">
        <v>1</v>
      </c>
      <c r="L34" s="646">
        <v>8</v>
      </c>
      <c r="M34" s="646">
        <v>0</v>
      </c>
      <c r="N34" s="641">
        <v>0</v>
      </c>
      <c r="O34" s="641">
        <v>0</v>
      </c>
      <c r="P34" s="641">
        <v>0</v>
      </c>
      <c r="Q34" s="641">
        <v>0</v>
      </c>
      <c r="R34" s="641">
        <v>0</v>
      </c>
      <c r="S34" s="641">
        <v>0</v>
      </c>
      <c r="T34" s="641">
        <v>13</v>
      </c>
      <c r="U34" s="641">
        <v>510000</v>
      </c>
      <c r="V34" s="641">
        <v>1</v>
      </c>
      <c r="W34" s="641">
        <v>3</v>
      </c>
      <c r="X34" s="641">
        <v>33</v>
      </c>
      <c r="Y34" s="641">
        <v>3770000</v>
      </c>
      <c r="Z34" s="641">
        <v>0</v>
      </c>
      <c r="AA34" s="641">
        <v>0</v>
      </c>
      <c r="AB34" s="641">
        <v>0</v>
      </c>
      <c r="AC34" s="641">
        <v>1</v>
      </c>
      <c r="AD34" s="641">
        <v>40</v>
      </c>
      <c r="AE34" s="641">
        <v>2</v>
      </c>
      <c r="AF34" s="641">
        <v>0</v>
      </c>
      <c r="AG34" s="641">
        <v>0</v>
      </c>
      <c r="AH34" s="641">
        <v>0</v>
      </c>
      <c r="AI34" s="641">
        <v>0</v>
      </c>
      <c r="AJ34" s="641">
        <v>0</v>
      </c>
      <c r="AK34" s="641">
        <v>0</v>
      </c>
    </row>
    <row r="35" spans="1:37" ht="12.75">
      <c r="A35" s="324" t="s">
        <v>201</v>
      </c>
      <c r="B35" s="451">
        <v>2</v>
      </c>
      <c r="C35" s="451">
        <v>10000</v>
      </c>
      <c r="D35" s="451">
        <v>0</v>
      </c>
      <c r="E35" s="451">
        <v>0</v>
      </c>
      <c r="F35" s="451">
        <v>0</v>
      </c>
      <c r="G35" s="451">
        <v>1000000</v>
      </c>
      <c r="H35" s="451">
        <v>0</v>
      </c>
      <c r="I35" s="451">
        <v>0</v>
      </c>
      <c r="J35" s="451">
        <v>0</v>
      </c>
      <c r="K35" s="451">
        <v>0</v>
      </c>
      <c r="L35" s="451">
        <v>0</v>
      </c>
      <c r="M35" s="451">
        <v>0</v>
      </c>
      <c r="N35" s="324">
        <v>0</v>
      </c>
      <c r="O35" s="324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4</v>
      </c>
      <c r="U35" s="324">
        <v>171000</v>
      </c>
      <c r="V35" s="324">
        <v>0</v>
      </c>
      <c r="W35" s="324">
        <v>0</v>
      </c>
      <c r="X35" s="324">
        <v>0</v>
      </c>
      <c r="Y35" s="324">
        <v>550000</v>
      </c>
      <c r="Z35" s="324">
        <v>0</v>
      </c>
      <c r="AA35" s="324">
        <v>0</v>
      </c>
      <c r="AB35" s="324">
        <v>0</v>
      </c>
      <c r="AC35" s="324">
        <v>0</v>
      </c>
      <c r="AD35" s="324">
        <v>24</v>
      </c>
      <c r="AE35" s="324">
        <v>2</v>
      </c>
      <c r="AF35" s="324">
        <v>0</v>
      </c>
      <c r="AG35" s="324">
        <v>0</v>
      </c>
      <c r="AH35" s="324">
        <v>0</v>
      </c>
      <c r="AI35" s="324">
        <v>0</v>
      </c>
      <c r="AJ35" s="324">
        <v>0</v>
      </c>
      <c r="AK35" s="324">
        <v>0</v>
      </c>
    </row>
    <row r="36" spans="1:19" ht="12.75">
      <c r="A36" s="324" t="s">
        <v>315</v>
      </c>
      <c r="B36" s="451">
        <v>2</v>
      </c>
      <c r="C36" s="451">
        <v>260000</v>
      </c>
      <c r="D36" s="451">
        <v>0</v>
      </c>
      <c r="E36" s="451">
        <v>0</v>
      </c>
      <c r="F36" s="451">
        <v>0</v>
      </c>
      <c r="G36" s="451">
        <v>50000</v>
      </c>
      <c r="H36" s="451">
        <v>0</v>
      </c>
      <c r="I36" s="451">
        <v>0</v>
      </c>
      <c r="J36" s="451">
        <v>0</v>
      </c>
      <c r="K36" s="451">
        <v>1</v>
      </c>
      <c r="L36" s="451">
        <v>96</v>
      </c>
      <c r="M36" s="451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</row>
    <row r="37" spans="1:37" ht="12.75">
      <c r="A37" s="324" t="s">
        <v>316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T37" s="324">
        <v>3</v>
      </c>
      <c r="U37" s="324">
        <v>24500</v>
      </c>
      <c r="V37" s="324">
        <v>0</v>
      </c>
      <c r="W37" s="324">
        <v>0</v>
      </c>
      <c r="X37" s="324">
        <v>0</v>
      </c>
      <c r="Y37" s="324">
        <v>1100000</v>
      </c>
      <c r="Z37" s="324">
        <v>0</v>
      </c>
      <c r="AA37" s="324">
        <v>0</v>
      </c>
      <c r="AB37" s="324">
        <v>0</v>
      </c>
      <c r="AC37" s="324">
        <v>3</v>
      </c>
      <c r="AD37" s="324">
        <v>48</v>
      </c>
      <c r="AE37" s="324">
        <v>1</v>
      </c>
      <c r="AF37" s="324">
        <v>10</v>
      </c>
      <c r="AG37" s="324">
        <v>0</v>
      </c>
      <c r="AH37" s="324">
        <v>0</v>
      </c>
      <c r="AI37" s="324">
        <v>0</v>
      </c>
      <c r="AJ37" s="324">
        <v>0</v>
      </c>
      <c r="AK37" s="324">
        <v>0</v>
      </c>
    </row>
    <row r="38" spans="1:37" ht="12.75">
      <c r="A38" s="324" t="s">
        <v>317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T38" s="324">
        <v>2</v>
      </c>
      <c r="U38" s="324">
        <v>132000</v>
      </c>
      <c r="V38" s="324">
        <v>0</v>
      </c>
      <c r="W38" s="324">
        <v>0</v>
      </c>
      <c r="X38" s="324">
        <v>0</v>
      </c>
      <c r="Y38" s="324">
        <v>2800000</v>
      </c>
      <c r="Z38" s="324">
        <v>0</v>
      </c>
      <c r="AA38" s="324">
        <v>0</v>
      </c>
      <c r="AB38" s="324">
        <v>0</v>
      </c>
      <c r="AC38" s="324">
        <v>0</v>
      </c>
      <c r="AD38" s="324">
        <v>0</v>
      </c>
      <c r="AE38" s="324">
        <v>0</v>
      </c>
      <c r="AF38" s="324">
        <v>0</v>
      </c>
      <c r="AG38" s="324">
        <v>0</v>
      </c>
      <c r="AH38" s="324">
        <v>0</v>
      </c>
      <c r="AI38" s="324">
        <v>0</v>
      </c>
      <c r="AJ38" s="324">
        <v>0</v>
      </c>
      <c r="AK38" s="324">
        <v>0</v>
      </c>
    </row>
    <row r="39" spans="1:37" ht="12.75">
      <c r="A39" s="324" t="s">
        <v>318</v>
      </c>
      <c r="B39" s="451">
        <v>4</v>
      </c>
      <c r="C39" s="451">
        <v>1260000</v>
      </c>
      <c r="D39" s="451">
        <v>1</v>
      </c>
      <c r="E39" s="451">
        <v>0</v>
      </c>
      <c r="F39" s="451">
        <v>14</v>
      </c>
      <c r="G39" s="451">
        <v>3700000</v>
      </c>
      <c r="H39" s="451">
        <v>3</v>
      </c>
      <c r="I39" s="451">
        <v>0</v>
      </c>
      <c r="J39" s="451">
        <v>0</v>
      </c>
      <c r="K39" s="451">
        <v>1</v>
      </c>
      <c r="L39" s="451">
        <v>0</v>
      </c>
      <c r="M39" s="451">
        <v>0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v>0</v>
      </c>
      <c r="T39" s="324">
        <v>15</v>
      </c>
      <c r="U39" s="324">
        <v>832000</v>
      </c>
      <c r="V39" s="324">
        <v>0</v>
      </c>
      <c r="W39" s="324">
        <v>0</v>
      </c>
      <c r="X39" s="324">
        <v>1</v>
      </c>
      <c r="Y39" s="324">
        <v>8200000</v>
      </c>
      <c r="Z39" s="324">
        <v>3</v>
      </c>
      <c r="AA39" s="324">
        <v>0</v>
      </c>
      <c r="AB39" s="324">
        <v>0</v>
      </c>
      <c r="AC39" s="324">
        <v>3</v>
      </c>
      <c r="AD39" s="324">
        <v>135</v>
      </c>
      <c r="AE39" s="324">
        <v>1</v>
      </c>
      <c r="AF39" s="324">
        <v>0</v>
      </c>
      <c r="AG39" s="324">
        <v>0</v>
      </c>
      <c r="AH39" s="324">
        <v>0</v>
      </c>
      <c r="AI39" s="324">
        <v>0</v>
      </c>
      <c r="AJ39" s="324">
        <v>0</v>
      </c>
      <c r="AK39" s="324">
        <v>0</v>
      </c>
    </row>
    <row r="40" spans="1:37" ht="12.75">
      <c r="A40" s="324" t="s">
        <v>319</v>
      </c>
      <c r="B40" s="451">
        <v>4</v>
      </c>
      <c r="C40" s="451">
        <v>303000</v>
      </c>
      <c r="D40" s="451">
        <v>1</v>
      </c>
      <c r="E40" s="451">
        <v>0</v>
      </c>
      <c r="F40" s="451">
        <v>1</v>
      </c>
      <c r="G40" s="451">
        <v>5500000</v>
      </c>
      <c r="H40" s="451">
        <v>0</v>
      </c>
      <c r="I40" s="451">
        <v>0</v>
      </c>
      <c r="J40" s="451">
        <v>0</v>
      </c>
      <c r="K40" s="451">
        <v>1</v>
      </c>
      <c r="L40" s="451">
        <v>23</v>
      </c>
      <c r="M40" s="451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17</v>
      </c>
      <c r="U40" s="324">
        <v>4160976</v>
      </c>
      <c r="V40" s="324">
        <v>0</v>
      </c>
      <c r="W40" s="324">
        <v>0</v>
      </c>
      <c r="X40" s="324">
        <v>0</v>
      </c>
      <c r="Y40" s="324">
        <v>24500000</v>
      </c>
      <c r="Z40" s="324">
        <v>0</v>
      </c>
      <c r="AA40" s="324">
        <v>0</v>
      </c>
      <c r="AB40" s="324">
        <v>0</v>
      </c>
      <c r="AC40" s="324">
        <v>8</v>
      </c>
      <c r="AD40" s="324">
        <v>470</v>
      </c>
      <c r="AE40" s="324">
        <v>0</v>
      </c>
      <c r="AF40" s="324">
        <v>0</v>
      </c>
      <c r="AG40" s="324">
        <v>1</v>
      </c>
      <c r="AH40" s="324">
        <v>0</v>
      </c>
      <c r="AI40" s="324">
        <v>0</v>
      </c>
      <c r="AJ40" s="324">
        <v>26</v>
      </c>
      <c r="AK40" s="324">
        <v>0</v>
      </c>
    </row>
    <row r="41" spans="1:19" ht="12.75">
      <c r="A41" s="324" t="s">
        <v>320</v>
      </c>
      <c r="B41" s="324">
        <v>2</v>
      </c>
      <c r="C41" s="324">
        <v>100000</v>
      </c>
      <c r="D41" s="324">
        <v>0</v>
      </c>
      <c r="E41" s="324">
        <v>0</v>
      </c>
      <c r="F41" s="324">
        <v>1</v>
      </c>
      <c r="G41" s="324">
        <v>600000</v>
      </c>
      <c r="H41" s="324">
        <v>0</v>
      </c>
      <c r="I41" s="324">
        <v>0</v>
      </c>
      <c r="J41" s="324">
        <v>0</v>
      </c>
      <c r="K41" s="324">
        <v>2</v>
      </c>
      <c r="L41" s="324">
        <v>260</v>
      </c>
      <c r="M41" s="324">
        <v>0</v>
      </c>
      <c r="N41" s="324">
        <v>0</v>
      </c>
      <c r="O41" s="324">
        <v>0</v>
      </c>
      <c r="P41" s="324">
        <v>0</v>
      </c>
      <c r="Q41" s="324">
        <v>0</v>
      </c>
      <c r="R41" s="324">
        <v>0</v>
      </c>
      <c r="S41" s="324">
        <v>0</v>
      </c>
    </row>
    <row r="42" spans="1:37" ht="12.75">
      <c r="A42" s="324" t="s">
        <v>321</v>
      </c>
      <c r="B42" s="324">
        <v>1</v>
      </c>
      <c r="C42" s="324">
        <v>20000</v>
      </c>
      <c r="D42" s="324">
        <v>2</v>
      </c>
      <c r="E42" s="324">
        <v>0</v>
      </c>
      <c r="F42" s="324">
        <v>0</v>
      </c>
      <c r="G42" s="324">
        <v>500000</v>
      </c>
      <c r="H42" s="324">
        <v>0</v>
      </c>
      <c r="I42" s="324">
        <v>0</v>
      </c>
      <c r="J42" s="324">
        <v>0</v>
      </c>
      <c r="K42" s="324">
        <v>0</v>
      </c>
      <c r="L42" s="324">
        <v>0</v>
      </c>
      <c r="M42" s="324">
        <v>0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4">
        <v>0</v>
      </c>
      <c r="T42" s="324">
        <v>2</v>
      </c>
      <c r="U42" s="324">
        <v>116200</v>
      </c>
      <c r="V42" s="324">
        <v>0</v>
      </c>
      <c r="W42" s="324">
        <v>0</v>
      </c>
      <c r="X42" s="324">
        <v>0</v>
      </c>
      <c r="Y42" s="324">
        <v>2250000</v>
      </c>
      <c r="Z42" s="324">
        <v>0</v>
      </c>
      <c r="AA42" s="324">
        <v>0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324">
        <v>0</v>
      </c>
      <c r="AI42" s="324">
        <v>0</v>
      </c>
      <c r="AJ42" s="324">
        <v>0</v>
      </c>
      <c r="AK42" s="324">
        <v>0</v>
      </c>
    </row>
    <row r="43" ht="12.75">
      <c r="A43" s="324" t="s">
        <v>322</v>
      </c>
    </row>
    <row r="44" spans="1:37" ht="12.75">
      <c r="A44" s="324" t="s">
        <v>323</v>
      </c>
      <c r="B44" s="324">
        <v>1</v>
      </c>
      <c r="C44" s="324">
        <v>100000</v>
      </c>
      <c r="D44" s="324">
        <v>0</v>
      </c>
      <c r="E44" s="324">
        <v>0</v>
      </c>
      <c r="F44" s="324">
        <v>0</v>
      </c>
      <c r="G44" s="324">
        <v>1600000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1</v>
      </c>
      <c r="U44" s="324">
        <v>10000</v>
      </c>
      <c r="V44" s="324">
        <v>0</v>
      </c>
      <c r="W44" s="324">
        <v>0</v>
      </c>
      <c r="X44" s="324">
        <v>0</v>
      </c>
      <c r="Y44" s="324">
        <v>1200000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4">
        <v>0</v>
      </c>
      <c r="AJ44" s="324">
        <v>0</v>
      </c>
      <c r="AK44" s="324">
        <v>0</v>
      </c>
    </row>
    <row r="45" spans="1:37" ht="12.75">
      <c r="A45" s="324" t="s">
        <v>324</v>
      </c>
      <c r="B45" s="324">
        <v>3</v>
      </c>
      <c r="C45" s="324">
        <v>152000</v>
      </c>
      <c r="D45" s="324">
        <v>1</v>
      </c>
      <c r="E45" s="324">
        <v>0</v>
      </c>
      <c r="F45" s="324">
        <v>0</v>
      </c>
      <c r="G45" s="324">
        <v>350000</v>
      </c>
      <c r="H45" s="324">
        <v>0</v>
      </c>
      <c r="I45" s="324">
        <v>0</v>
      </c>
      <c r="J45" s="324">
        <v>0</v>
      </c>
      <c r="K45" s="324">
        <v>1</v>
      </c>
      <c r="L45" s="324">
        <v>210</v>
      </c>
      <c r="M45" s="324">
        <v>0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4">
        <v>0</v>
      </c>
      <c r="T45" s="324">
        <v>1</v>
      </c>
      <c r="U45" s="324">
        <v>36700</v>
      </c>
      <c r="V45" s="324">
        <v>0</v>
      </c>
      <c r="W45" s="324">
        <v>0</v>
      </c>
      <c r="X45" s="324">
        <v>0</v>
      </c>
      <c r="Y45" s="324">
        <v>2000000</v>
      </c>
      <c r="Z45" s="324">
        <v>0</v>
      </c>
      <c r="AA45" s="324">
        <v>0</v>
      </c>
      <c r="AB45" s="324">
        <v>0</v>
      </c>
      <c r="AC45" s="324">
        <v>0</v>
      </c>
      <c r="AD45" s="324">
        <v>0</v>
      </c>
      <c r="AE45" s="324">
        <v>0</v>
      </c>
      <c r="AF45" s="324">
        <v>0</v>
      </c>
      <c r="AG45" s="324">
        <v>0</v>
      </c>
      <c r="AH45" s="324">
        <v>0</v>
      </c>
      <c r="AI45" s="324">
        <v>0</v>
      </c>
      <c r="AJ45" s="324">
        <v>0</v>
      </c>
      <c r="AK45" s="324">
        <v>0</v>
      </c>
    </row>
    <row r="46" ht="12.75">
      <c r="A46" s="324" t="s">
        <v>325</v>
      </c>
    </row>
    <row r="47" spans="1:37" ht="12.75">
      <c r="A47" s="324" t="s">
        <v>326</v>
      </c>
      <c r="T47" s="324">
        <v>3</v>
      </c>
      <c r="U47" s="324">
        <v>21500</v>
      </c>
      <c r="V47" s="324">
        <v>0</v>
      </c>
      <c r="W47" s="324">
        <v>0</v>
      </c>
      <c r="X47" s="324">
        <v>0</v>
      </c>
      <c r="Y47" s="324">
        <v>1030000</v>
      </c>
      <c r="Z47" s="324">
        <v>0</v>
      </c>
      <c r="AA47" s="324">
        <v>0</v>
      </c>
      <c r="AB47" s="324">
        <v>0</v>
      </c>
      <c r="AC47" s="324">
        <v>0</v>
      </c>
      <c r="AD47" s="324">
        <v>6</v>
      </c>
      <c r="AE47" s="324">
        <v>1</v>
      </c>
      <c r="AF47" s="324">
        <v>0</v>
      </c>
      <c r="AG47" s="324">
        <v>0</v>
      </c>
      <c r="AH47" s="324">
        <v>0</v>
      </c>
      <c r="AI47" s="324">
        <v>0</v>
      </c>
      <c r="AJ47" s="324">
        <v>0</v>
      </c>
      <c r="AK47" s="324">
        <v>0</v>
      </c>
    </row>
    <row r="48" spans="1:37" ht="12.75">
      <c r="A48" s="324" t="s">
        <v>327</v>
      </c>
      <c r="B48" s="324">
        <v>3</v>
      </c>
      <c r="C48" s="324">
        <v>5300</v>
      </c>
      <c r="D48" s="324">
        <v>0</v>
      </c>
      <c r="E48" s="324">
        <v>0</v>
      </c>
      <c r="F48" s="324">
        <v>0</v>
      </c>
      <c r="G48" s="324">
        <v>2200000</v>
      </c>
      <c r="H48" s="324"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4</v>
      </c>
      <c r="U48" s="324">
        <v>262000</v>
      </c>
      <c r="V48" s="324">
        <v>0</v>
      </c>
      <c r="W48" s="324">
        <v>0</v>
      </c>
      <c r="X48" s="324">
        <v>0</v>
      </c>
      <c r="Y48" s="324">
        <v>1750000</v>
      </c>
      <c r="Z48" s="324">
        <v>0</v>
      </c>
      <c r="AA48" s="324">
        <v>0</v>
      </c>
      <c r="AB48" s="324">
        <v>0</v>
      </c>
      <c r="AC48" s="324">
        <v>2</v>
      </c>
      <c r="AD48" s="324">
        <v>18</v>
      </c>
      <c r="AE48" s="324">
        <v>0</v>
      </c>
      <c r="AF48" s="324">
        <v>0</v>
      </c>
      <c r="AG48" s="324">
        <v>0</v>
      </c>
      <c r="AH48" s="324">
        <v>0</v>
      </c>
      <c r="AI48" s="324">
        <v>0</v>
      </c>
      <c r="AJ48" s="324">
        <v>0</v>
      </c>
      <c r="AK48" s="324">
        <v>0</v>
      </c>
    </row>
    <row r="49" spans="1:37" ht="12.75">
      <c r="A49" s="324" t="s">
        <v>328</v>
      </c>
      <c r="B49" s="324">
        <v>5</v>
      </c>
      <c r="C49" s="324">
        <v>275000</v>
      </c>
      <c r="D49" s="324">
        <v>1</v>
      </c>
      <c r="E49" s="324">
        <v>0</v>
      </c>
      <c r="F49" s="324">
        <v>0</v>
      </c>
      <c r="G49" s="324">
        <v>1650000</v>
      </c>
      <c r="H49" s="324">
        <v>0</v>
      </c>
      <c r="I49" s="324">
        <v>0</v>
      </c>
      <c r="J49" s="324">
        <v>0</v>
      </c>
      <c r="K49" s="324">
        <v>3</v>
      </c>
      <c r="L49" s="324">
        <v>152</v>
      </c>
      <c r="M49" s="324">
        <v>0</v>
      </c>
      <c r="N49" s="324">
        <v>0</v>
      </c>
      <c r="O49" s="324">
        <v>0</v>
      </c>
      <c r="P49" s="324">
        <v>0</v>
      </c>
      <c r="Q49" s="324">
        <v>0</v>
      </c>
      <c r="R49" s="324">
        <v>0</v>
      </c>
      <c r="S49" s="324">
        <v>0</v>
      </c>
      <c r="T49" s="324">
        <v>10</v>
      </c>
      <c r="U49" s="324">
        <v>663000</v>
      </c>
      <c r="V49" s="324">
        <v>2</v>
      </c>
      <c r="W49" s="324">
        <v>0</v>
      </c>
      <c r="X49" s="324">
        <v>7</v>
      </c>
      <c r="Y49" s="324">
        <v>8000000</v>
      </c>
      <c r="Z49" s="324">
        <v>2</v>
      </c>
      <c r="AA49" s="324">
        <v>0</v>
      </c>
      <c r="AB49" s="324">
        <v>0</v>
      </c>
      <c r="AC49" s="324">
        <v>4</v>
      </c>
      <c r="AD49" s="324">
        <v>62</v>
      </c>
      <c r="AE49" s="324">
        <v>0</v>
      </c>
      <c r="AF49" s="324">
        <v>0</v>
      </c>
      <c r="AG49" s="324">
        <v>0</v>
      </c>
      <c r="AH49" s="324">
        <v>0</v>
      </c>
      <c r="AI49" s="324">
        <v>0</v>
      </c>
      <c r="AJ49" s="324">
        <v>0</v>
      </c>
      <c r="AK49" s="324">
        <v>0</v>
      </c>
    </row>
    <row r="50" spans="1:37" ht="12.75">
      <c r="A50" s="324" t="s">
        <v>329</v>
      </c>
      <c r="T50" s="324">
        <v>3</v>
      </c>
      <c r="U50" s="324">
        <v>320000</v>
      </c>
      <c r="V50" s="324">
        <v>0</v>
      </c>
      <c r="W50" s="324">
        <v>0</v>
      </c>
      <c r="X50" s="324">
        <v>0</v>
      </c>
      <c r="Y50" s="324">
        <v>2100000</v>
      </c>
      <c r="Z50" s="324">
        <v>0</v>
      </c>
      <c r="AA50" s="324">
        <v>0</v>
      </c>
      <c r="AB50" s="324">
        <v>0</v>
      </c>
      <c r="AC50" s="324">
        <v>1</v>
      </c>
      <c r="AD50" s="324">
        <v>126</v>
      </c>
      <c r="AE50" s="324">
        <v>1</v>
      </c>
      <c r="AF50" s="324">
        <v>0</v>
      </c>
      <c r="AG50" s="324">
        <v>0</v>
      </c>
      <c r="AH50" s="324">
        <v>0</v>
      </c>
      <c r="AI50" s="324">
        <v>0</v>
      </c>
      <c r="AJ50" s="324">
        <v>0</v>
      </c>
      <c r="AK50" s="324">
        <v>0</v>
      </c>
    </row>
    <row r="51" spans="1:37" ht="12.75">
      <c r="A51" s="324" t="s">
        <v>330</v>
      </c>
      <c r="T51" s="324">
        <v>1</v>
      </c>
      <c r="U51" s="324">
        <v>14020</v>
      </c>
      <c r="V51" s="324">
        <v>0</v>
      </c>
      <c r="W51" s="324">
        <v>0</v>
      </c>
      <c r="X51" s="324">
        <v>0</v>
      </c>
      <c r="Y51" s="324">
        <v>0</v>
      </c>
      <c r="Z51" s="324">
        <v>0</v>
      </c>
      <c r="AA51" s="324">
        <v>0</v>
      </c>
      <c r="AB51" s="324"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4">
        <v>0</v>
      </c>
      <c r="AJ51" s="324">
        <v>0</v>
      </c>
      <c r="AK51" s="324">
        <v>0</v>
      </c>
    </row>
    <row r="52" spans="1:37" ht="12.75">
      <c r="A52" s="324" t="s">
        <v>331</v>
      </c>
      <c r="B52" s="324">
        <v>1</v>
      </c>
      <c r="C52" s="324">
        <v>50000</v>
      </c>
      <c r="D52" s="324">
        <v>0</v>
      </c>
      <c r="E52" s="324">
        <v>0</v>
      </c>
      <c r="F52" s="324">
        <v>0</v>
      </c>
      <c r="G52" s="324">
        <v>70000</v>
      </c>
      <c r="H52" s="324">
        <v>1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5</v>
      </c>
      <c r="U52" s="324">
        <v>42000</v>
      </c>
      <c r="V52" s="324">
        <v>0</v>
      </c>
      <c r="W52" s="324">
        <v>0</v>
      </c>
      <c r="X52" s="324">
        <v>0</v>
      </c>
      <c r="Y52" s="324">
        <v>2900000</v>
      </c>
      <c r="Z52" s="324">
        <v>0</v>
      </c>
      <c r="AA52" s="324">
        <v>0</v>
      </c>
      <c r="AB52" s="324">
        <v>0</v>
      </c>
      <c r="AC52" s="324">
        <v>1</v>
      </c>
      <c r="AD52" s="324">
        <v>50</v>
      </c>
      <c r="AE52" s="324">
        <v>0</v>
      </c>
      <c r="AF52" s="324">
        <v>0</v>
      </c>
      <c r="AG52" s="324">
        <v>0</v>
      </c>
      <c r="AH52" s="324">
        <v>0</v>
      </c>
      <c r="AI52" s="324">
        <v>0</v>
      </c>
      <c r="AJ52" s="324">
        <v>0</v>
      </c>
      <c r="AK52" s="324">
        <v>0</v>
      </c>
    </row>
    <row r="53" spans="1:37" ht="12.75">
      <c r="A53" s="324" t="s">
        <v>332</v>
      </c>
      <c r="B53" s="324">
        <v>1087</v>
      </c>
      <c r="C53" s="324">
        <v>63029867</v>
      </c>
      <c r="D53" s="324">
        <v>102</v>
      </c>
      <c r="E53" s="324">
        <v>96</v>
      </c>
      <c r="F53" s="324">
        <v>393</v>
      </c>
      <c r="G53" s="324">
        <v>525735300</v>
      </c>
      <c r="H53" s="324">
        <v>139</v>
      </c>
      <c r="I53" s="324">
        <v>112</v>
      </c>
      <c r="J53" s="324">
        <v>82</v>
      </c>
      <c r="K53" s="324">
        <v>533</v>
      </c>
      <c r="L53" s="324">
        <v>27888</v>
      </c>
      <c r="M53" s="324">
        <v>39</v>
      </c>
      <c r="N53" s="324">
        <v>39</v>
      </c>
      <c r="O53" s="324">
        <v>174</v>
      </c>
      <c r="P53" s="324">
        <v>0</v>
      </c>
      <c r="Q53" s="324">
        <v>54</v>
      </c>
      <c r="R53" s="324">
        <v>25</v>
      </c>
      <c r="S53" s="324">
        <v>34</v>
      </c>
      <c r="T53" s="324">
        <v>1037</v>
      </c>
      <c r="U53" s="324">
        <v>75244277</v>
      </c>
      <c r="V53" s="324">
        <v>92</v>
      </c>
      <c r="W53" s="324">
        <v>112</v>
      </c>
      <c r="X53" s="324">
        <v>357</v>
      </c>
      <c r="Y53" s="324">
        <v>585684000</v>
      </c>
      <c r="Z53" s="324">
        <v>119</v>
      </c>
      <c r="AA53" s="324">
        <v>27</v>
      </c>
      <c r="AB53" s="324">
        <v>1514</v>
      </c>
      <c r="AC53" s="324">
        <v>444</v>
      </c>
      <c r="AD53" s="324">
        <v>24607</v>
      </c>
      <c r="AE53" s="324">
        <v>53</v>
      </c>
      <c r="AF53" s="324">
        <v>13</v>
      </c>
      <c r="AG53" s="324">
        <v>156</v>
      </c>
      <c r="AH53" s="324">
        <v>0</v>
      </c>
      <c r="AI53" s="324">
        <v>10</v>
      </c>
      <c r="AJ53" s="324">
        <v>291</v>
      </c>
      <c r="AK53" s="324">
        <v>45</v>
      </c>
    </row>
    <row r="54" spans="1:37" ht="12.75">
      <c r="A54" s="324" t="s">
        <v>333</v>
      </c>
      <c r="B54" s="324">
        <v>467</v>
      </c>
      <c r="C54" s="324">
        <v>25866620</v>
      </c>
      <c r="D54" s="324">
        <v>40</v>
      </c>
      <c r="E54" s="324">
        <v>59</v>
      </c>
      <c r="F54" s="324">
        <v>340</v>
      </c>
      <c r="G54" s="324">
        <v>283266000</v>
      </c>
      <c r="H54" s="324">
        <v>94</v>
      </c>
      <c r="I54" s="324">
        <v>0</v>
      </c>
      <c r="J54" s="324">
        <v>2</v>
      </c>
      <c r="K54" s="324">
        <v>115</v>
      </c>
      <c r="L54" s="324">
        <v>4533</v>
      </c>
      <c r="M54" s="324">
        <v>15</v>
      </c>
      <c r="N54" s="324">
        <v>20</v>
      </c>
      <c r="O54" s="324">
        <v>1</v>
      </c>
      <c r="P54" s="324">
        <v>0</v>
      </c>
      <c r="Q54" s="324">
        <v>0</v>
      </c>
      <c r="R54" s="324">
        <v>0</v>
      </c>
      <c r="S54" s="324">
        <v>5</v>
      </c>
      <c r="T54" s="324">
        <v>457</v>
      </c>
      <c r="U54" s="324">
        <v>30098635</v>
      </c>
      <c r="V54" s="324">
        <v>38</v>
      </c>
      <c r="W54" s="324">
        <v>70</v>
      </c>
      <c r="X54" s="324">
        <v>333</v>
      </c>
      <c r="Y54" s="324">
        <v>334837000</v>
      </c>
      <c r="Z54" s="324">
        <v>72</v>
      </c>
      <c r="AA54" s="324">
        <v>0</v>
      </c>
      <c r="AB54" s="324">
        <v>0</v>
      </c>
      <c r="AC54" s="324">
        <v>82</v>
      </c>
      <c r="AD54" s="324">
        <v>4855</v>
      </c>
      <c r="AE54" s="324">
        <v>22</v>
      </c>
      <c r="AF54" s="324">
        <v>0</v>
      </c>
      <c r="AG54" s="324">
        <v>3</v>
      </c>
      <c r="AH54" s="324">
        <v>0</v>
      </c>
      <c r="AI54" s="324">
        <v>0</v>
      </c>
      <c r="AJ54" s="324">
        <v>226</v>
      </c>
      <c r="AK54" s="324">
        <v>10</v>
      </c>
    </row>
    <row r="55" spans="1:37" ht="12.75">
      <c r="A55" s="324" t="s">
        <v>61</v>
      </c>
      <c r="B55" s="324">
        <v>620</v>
      </c>
      <c r="C55" s="324">
        <v>37163247</v>
      </c>
      <c r="D55" s="324">
        <v>62</v>
      </c>
      <c r="E55" s="324">
        <v>37</v>
      </c>
      <c r="F55" s="324">
        <v>53</v>
      </c>
      <c r="G55" s="324">
        <v>242469300</v>
      </c>
      <c r="H55" s="324">
        <v>45</v>
      </c>
      <c r="I55" s="324">
        <v>112</v>
      </c>
      <c r="J55" s="324">
        <v>80</v>
      </c>
      <c r="K55" s="324">
        <v>418</v>
      </c>
      <c r="L55" s="324">
        <v>23355</v>
      </c>
      <c r="M55" s="324">
        <v>24</v>
      </c>
      <c r="N55" s="324">
        <v>19</v>
      </c>
      <c r="O55" s="324">
        <v>173</v>
      </c>
      <c r="P55" s="324">
        <v>0</v>
      </c>
      <c r="Q55" s="324">
        <v>54</v>
      </c>
      <c r="R55" s="324">
        <v>25</v>
      </c>
      <c r="S55" s="324">
        <v>29</v>
      </c>
      <c r="T55" s="324">
        <v>580</v>
      </c>
      <c r="U55" s="324">
        <v>45145642</v>
      </c>
      <c r="V55" s="324">
        <v>54</v>
      </c>
      <c r="W55" s="324">
        <v>42</v>
      </c>
      <c r="X55" s="324">
        <v>24</v>
      </c>
      <c r="Y55" s="324">
        <v>250847000</v>
      </c>
      <c r="Z55" s="324">
        <v>47</v>
      </c>
      <c r="AA55" s="324">
        <v>27</v>
      </c>
      <c r="AB55" s="324">
        <v>1514</v>
      </c>
      <c r="AC55" s="324">
        <v>362</v>
      </c>
      <c r="AD55" s="324">
        <v>19752</v>
      </c>
      <c r="AE55" s="324">
        <v>31</v>
      </c>
      <c r="AF55" s="324">
        <v>13</v>
      </c>
      <c r="AG55" s="324">
        <v>153</v>
      </c>
      <c r="AH55" s="324">
        <v>0</v>
      </c>
      <c r="AI55" s="324">
        <v>10</v>
      </c>
      <c r="AJ55" s="324">
        <v>65</v>
      </c>
      <c r="AK55" s="324">
        <v>35</v>
      </c>
    </row>
    <row r="56" spans="1:37" ht="12.75">
      <c r="A56" s="324" t="s">
        <v>334</v>
      </c>
      <c r="B56" s="324">
        <v>2</v>
      </c>
      <c r="C56" s="324">
        <v>100000</v>
      </c>
      <c r="D56" s="324">
        <v>0</v>
      </c>
      <c r="E56" s="324">
        <v>1</v>
      </c>
      <c r="F56" s="324">
        <v>0</v>
      </c>
      <c r="G56" s="324">
        <v>500000</v>
      </c>
      <c r="H56" s="324">
        <v>0</v>
      </c>
      <c r="I56" s="324">
        <v>0</v>
      </c>
      <c r="J56" s="324">
        <v>0</v>
      </c>
      <c r="K56" s="324">
        <v>0</v>
      </c>
      <c r="L56" s="324">
        <v>0</v>
      </c>
      <c r="M56" s="324">
        <v>0</v>
      </c>
      <c r="N56" s="324">
        <v>0</v>
      </c>
      <c r="O56" s="324">
        <v>0</v>
      </c>
      <c r="P56" s="324">
        <v>0</v>
      </c>
      <c r="Q56" s="324">
        <v>0</v>
      </c>
      <c r="R56" s="324">
        <v>0</v>
      </c>
      <c r="S56" s="324">
        <v>0</v>
      </c>
      <c r="T56" s="324">
        <v>4</v>
      </c>
      <c r="U56" s="324">
        <v>38000</v>
      </c>
      <c r="V56" s="324">
        <v>0</v>
      </c>
      <c r="W56" s="324">
        <v>1</v>
      </c>
      <c r="X56" s="324">
        <v>0</v>
      </c>
      <c r="Y56" s="324">
        <v>2023000</v>
      </c>
      <c r="Z56" s="324">
        <v>0</v>
      </c>
      <c r="AA56" s="324">
        <v>0</v>
      </c>
      <c r="AB56" s="324">
        <v>0</v>
      </c>
      <c r="AC56" s="324">
        <v>0</v>
      </c>
      <c r="AD56" s="324">
        <v>0</v>
      </c>
      <c r="AE56" s="324">
        <v>0</v>
      </c>
      <c r="AF56" s="324">
        <v>0</v>
      </c>
      <c r="AG56" s="324">
        <v>0</v>
      </c>
      <c r="AH56" s="324">
        <v>0</v>
      </c>
      <c r="AI56" s="324">
        <v>0</v>
      </c>
      <c r="AJ56" s="324">
        <v>0</v>
      </c>
      <c r="AK56" s="324">
        <v>0</v>
      </c>
    </row>
    <row r="57" ht="12.75">
      <c r="A57" s="324" t="s">
        <v>335</v>
      </c>
    </row>
    <row r="58" ht="12.75">
      <c r="A58" s="324" t="s">
        <v>336</v>
      </c>
    </row>
    <row r="59" ht="12.75">
      <c r="A59" s="324" t="s">
        <v>337</v>
      </c>
    </row>
    <row r="60" spans="1:37" ht="12.75">
      <c r="A60" s="324" t="s">
        <v>338</v>
      </c>
      <c r="B60" s="324">
        <v>18</v>
      </c>
      <c r="C60" s="324">
        <v>815981</v>
      </c>
      <c r="D60" s="324">
        <v>0</v>
      </c>
      <c r="E60" s="324">
        <v>2</v>
      </c>
      <c r="F60" s="324">
        <v>0</v>
      </c>
      <c r="G60" s="324">
        <v>19060000</v>
      </c>
      <c r="H60" s="324">
        <v>0</v>
      </c>
      <c r="I60" s="324">
        <v>0</v>
      </c>
      <c r="J60" s="324">
        <v>0</v>
      </c>
      <c r="K60" s="324">
        <v>2</v>
      </c>
      <c r="L60" s="324">
        <v>660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>
        <v>0</v>
      </c>
      <c r="T60" s="324">
        <v>16</v>
      </c>
      <c r="U60" s="324">
        <v>3708725</v>
      </c>
      <c r="V60" s="324">
        <v>2</v>
      </c>
      <c r="W60" s="324">
        <v>0</v>
      </c>
      <c r="X60" s="324">
        <v>9</v>
      </c>
      <c r="Y60" s="324">
        <v>17190000</v>
      </c>
      <c r="Z60" s="324">
        <v>2</v>
      </c>
      <c r="AA60" s="324">
        <v>0</v>
      </c>
      <c r="AB60" s="324">
        <v>0</v>
      </c>
      <c r="AC60" s="324">
        <v>6</v>
      </c>
      <c r="AD60" s="324">
        <v>303</v>
      </c>
      <c r="AE60" s="324">
        <v>0</v>
      </c>
      <c r="AF60" s="324">
        <v>0</v>
      </c>
      <c r="AG60" s="324">
        <v>0</v>
      </c>
      <c r="AH60" s="324">
        <v>0</v>
      </c>
      <c r="AI60" s="324">
        <v>0</v>
      </c>
      <c r="AJ60" s="324">
        <v>0</v>
      </c>
      <c r="AK60" s="324">
        <v>0</v>
      </c>
    </row>
    <row r="61" spans="1:37" ht="12.75">
      <c r="A61" s="324" t="s">
        <v>339</v>
      </c>
      <c r="B61" s="324">
        <v>15</v>
      </c>
      <c r="C61" s="324">
        <v>1422051</v>
      </c>
      <c r="D61" s="324">
        <v>0</v>
      </c>
      <c r="E61" s="324">
        <v>0</v>
      </c>
      <c r="F61" s="324">
        <v>0</v>
      </c>
      <c r="G61" s="324">
        <v>15400000</v>
      </c>
      <c r="H61" s="324">
        <v>4</v>
      </c>
      <c r="I61" s="324">
        <v>0</v>
      </c>
      <c r="J61" s="324">
        <v>0</v>
      </c>
      <c r="K61" s="324">
        <v>2</v>
      </c>
      <c r="L61" s="324">
        <v>80</v>
      </c>
      <c r="M61" s="324">
        <v>0</v>
      </c>
      <c r="N61" s="324">
        <v>0</v>
      </c>
      <c r="O61" s="324">
        <v>45</v>
      </c>
      <c r="P61" s="324">
        <v>0</v>
      </c>
      <c r="Q61" s="324">
        <v>0</v>
      </c>
      <c r="R61" s="324">
        <v>0</v>
      </c>
      <c r="S61" s="324">
        <v>0</v>
      </c>
      <c r="T61" s="324">
        <v>12</v>
      </c>
      <c r="U61" s="324">
        <v>3566403</v>
      </c>
      <c r="V61" s="324">
        <v>0</v>
      </c>
      <c r="W61" s="324">
        <v>0</v>
      </c>
      <c r="X61" s="324">
        <v>10</v>
      </c>
      <c r="Y61" s="324">
        <v>9250000</v>
      </c>
      <c r="Z61" s="324">
        <v>2</v>
      </c>
      <c r="AA61" s="324">
        <v>0</v>
      </c>
      <c r="AB61" s="324">
        <v>0</v>
      </c>
      <c r="AC61" s="324">
        <v>1</v>
      </c>
      <c r="AD61" s="324">
        <v>2725</v>
      </c>
      <c r="AE61" s="324">
        <v>0</v>
      </c>
      <c r="AF61" s="324">
        <v>0</v>
      </c>
      <c r="AG61" s="324">
        <v>0</v>
      </c>
      <c r="AH61" s="324">
        <v>0</v>
      </c>
      <c r="AI61" s="324">
        <v>0</v>
      </c>
      <c r="AJ61" s="324">
        <v>0</v>
      </c>
      <c r="AK61" s="324">
        <v>0</v>
      </c>
    </row>
    <row r="62" spans="1:37" ht="12.75">
      <c r="A62" s="324" t="s">
        <v>340</v>
      </c>
      <c r="B62" s="324">
        <v>19</v>
      </c>
      <c r="C62" s="324">
        <v>434094</v>
      </c>
      <c r="D62" s="324">
        <v>1</v>
      </c>
      <c r="E62" s="324">
        <v>2</v>
      </c>
      <c r="F62" s="324">
        <v>0</v>
      </c>
      <c r="G62" s="324">
        <v>4280300</v>
      </c>
      <c r="H62" s="324">
        <v>1</v>
      </c>
      <c r="I62" s="324">
        <v>0</v>
      </c>
      <c r="J62" s="324">
        <v>0</v>
      </c>
      <c r="K62" s="324">
        <v>1</v>
      </c>
      <c r="L62" s="324">
        <v>420</v>
      </c>
      <c r="M62" s="324">
        <v>0</v>
      </c>
      <c r="N62" s="324">
        <v>11</v>
      </c>
      <c r="O62" s="324">
        <v>34</v>
      </c>
      <c r="P62" s="324">
        <v>0</v>
      </c>
      <c r="Q62" s="324">
        <v>0</v>
      </c>
      <c r="R62" s="324">
        <v>0</v>
      </c>
      <c r="S62" s="324">
        <v>0</v>
      </c>
      <c r="T62" s="324">
        <v>12</v>
      </c>
      <c r="U62" s="324">
        <v>217141</v>
      </c>
      <c r="V62" s="324">
        <v>0</v>
      </c>
      <c r="W62" s="324">
        <v>4</v>
      </c>
      <c r="X62" s="324">
        <v>0</v>
      </c>
      <c r="Y62" s="324">
        <v>1560000</v>
      </c>
      <c r="Z62" s="324">
        <v>1</v>
      </c>
      <c r="AA62" s="324">
        <v>0</v>
      </c>
      <c r="AB62" s="324">
        <v>0</v>
      </c>
      <c r="AC62" s="324">
        <v>3</v>
      </c>
      <c r="AD62" s="324">
        <v>325</v>
      </c>
      <c r="AE62" s="324">
        <v>0</v>
      </c>
      <c r="AF62" s="324">
        <v>10</v>
      </c>
      <c r="AG62" s="324">
        <v>33</v>
      </c>
      <c r="AH62" s="324">
        <v>0</v>
      </c>
      <c r="AI62" s="324">
        <v>0</v>
      </c>
      <c r="AJ62" s="324">
        <v>0</v>
      </c>
      <c r="AK62" s="324">
        <v>0</v>
      </c>
    </row>
    <row r="63" spans="1:37" ht="12.75">
      <c r="A63" s="324" t="s">
        <v>341</v>
      </c>
      <c r="B63" s="324">
        <v>854</v>
      </c>
      <c r="C63" s="324">
        <v>43747322</v>
      </c>
      <c r="D63" s="324">
        <v>99</v>
      </c>
      <c r="E63" s="324">
        <v>77</v>
      </c>
      <c r="F63" s="324">
        <v>376</v>
      </c>
      <c r="G63" s="324">
        <v>403801000</v>
      </c>
      <c r="H63" s="324">
        <v>43</v>
      </c>
      <c r="I63" s="324">
        <v>26</v>
      </c>
      <c r="J63" s="324">
        <v>62</v>
      </c>
      <c r="K63" s="324">
        <v>512</v>
      </c>
      <c r="L63" s="324">
        <v>24156</v>
      </c>
      <c r="M63" s="324">
        <v>7</v>
      </c>
      <c r="N63" s="324">
        <v>28</v>
      </c>
      <c r="O63" s="324">
        <v>92</v>
      </c>
      <c r="P63" s="324">
        <v>0</v>
      </c>
      <c r="Q63" s="324">
        <v>10</v>
      </c>
      <c r="R63" s="324">
        <v>25</v>
      </c>
      <c r="S63" s="324">
        <v>34</v>
      </c>
      <c r="T63" s="324">
        <v>785</v>
      </c>
      <c r="U63" s="324">
        <v>43315954</v>
      </c>
      <c r="V63" s="324">
        <v>88</v>
      </c>
      <c r="W63" s="324">
        <v>78</v>
      </c>
      <c r="X63" s="324">
        <v>316</v>
      </c>
      <c r="Y63" s="324">
        <v>435195000</v>
      </c>
      <c r="Z63" s="324">
        <v>29</v>
      </c>
      <c r="AA63" s="324">
        <v>19</v>
      </c>
      <c r="AB63" s="324">
        <v>14</v>
      </c>
      <c r="AC63" s="324">
        <v>414</v>
      </c>
      <c r="AD63" s="324">
        <v>19030</v>
      </c>
      <c r="AE63" s="324">
        <v>12</v>
      </c>
      <c r="AF63" s="324">
        <v>3</v>
      </c>
      <c r="AG63" s="324">
        <v>102</v>
      </c>
      <c r="AH63" s="324">
        <v>0</v>
      </c>
      <c r="AI63" s="324">
        <v>9</v>
      </c>
      <c r="AJ63" s="324">
        <v>258</v>
      </c>
      <c r="AK63" s="324">
        <v>45</v>
      </c>
    </row>
    <row r="64" spans="1:37" ht="12.75">
      <c r="A64" s="324" t="s">
        <v>342</v>
      </c>
      <c r="B64" s="324">
        <v>4</v>
      </c>
      <c r="C64" s="324">
        <v>1280855</v>
      </c>
      <c r="D64" s="324">
        <v>0</v>
      </c>
      <c r="E64" s="324">
        <v>4</v>
      </c>
      <c r="F64" s="324">
        <v>3</v>
      </c>
      <c r="G64" s="324">
        <v>1080000</v>
      </c>
      <c r="H64" s="324">
        <v>0</v>
      </c>
      <c r="I64" s="324">
        <v>86</v>
      </c>
      <c r="J64" s="324">
        <v>20</v>
      </c>
      <c r="K64" s="324">
        <v>2</v>
      </c>
      <c r="L64" s="324">
        <v>840</v>
      </c>
      <c r="M64" s="324">
        <v>0</v>
      </c>
      <c r="N64" s="324">
        <v>0</v>
      </c>
      <c r="O64" s="324">
        <v>0</v>
      </c>
      <c r="P64" s="324">
        <v>0</v>
      </c>
      <c r="Q64" s="324">
        <v>44</v>
      </c>
      <c r="R64" s="324">
        <v>0</v>
      </c>
      <c r="S64" s="324">
        <v>0</v>
      </c>
      <c r="T64" s="324">
        <v>6</v>
      </c>
      <c r="U64" s="324">
        <v>567000</v>
      </c>
      <c r="V64" s="324">
        <v>0</v>
      </c>
      <c r="W64" s="324">
        <v>0</v>
      </c>
      <c r="X64" s="324">
        <v>0</v>
      </c>
      <c r="Y64" s="324">
        <v>2750000</v>
      </c>
      <c r="Z64" s="324">
        <v>2</v>
      </c>
      <c r="AA64" s="324">
        <v>6</v>
      </c>
      <c r="AB64" s="324">
        <v>1500</v>
      </c>
      <c r="AC64" s="324">
        <v>2</v>
      </c>
      <c r="AD64" s="324">
        <v>753</v>
      </c>
      <c r="AE64" s="324">
        <v>0</v>
      </c>
      <c r="AF64" s="324">
        <v>0</v>
      </c>
      <c r="AG64" s="324">
        <v>21</v>
      </c>
      <c r="AH64" s="324">
        <v>0</v>
      </c>
      <c r="AI64" s="324">
        <v>0</v>
      </c>
      <c r="AJ64" s="324">
        <v>25</v>
      </c>
      <c r="AK64" s="324">
        <v>0</v>
      </c>
    </row>
    <row r="65" ht="12.75">
      <c r="A65" s="324" t="s">
        <v>343</v>
      </c>
    </row>
    <row r="66" spans="1:37" ht="12.75">
      <c r="A66" s="324" t="s">
        <v>344</v>
      </c>
      <c r="B66" s="324">
        <v>2</v>
      </c>
      <c r="C66" s="324">
        <v>5500</v>
      </c>
      <c r="D66" s="324">
        <v>0</v>
      </c>
      <c r="E66" s="324">
        <v>0</v>
      </c>
      <c r="F66" s="324">
        <v>0</v>
      </c>
      <c r="G66" s="324">
        <v>200000</v>
      </c>
      <c r="H66" s="324">
        <v>0</v>
      </c>
      <c r="I66" s="324">
        <v>0</v>
      </c>
      <c r="J66" s="324">
        <v>0</v>
      </c>
      <c r="K66" s="324">
        <v>0</v>
      </c>
      <c r="L66" s="324">
        <v>0</v>
      </c>
      <c r="M66" s="324">
        <v>0</v>
      </c>
      <c r="N66" s="324">
        <v>0</v>
      </c>
      <c r="O66" s="324">
        <v>0</v>
      </c>
      <c r="P66" s="324">
        <v>0</v>
      </c>
      <c r="Q66" s="324">
        <v>0</v>
      </c>
      <c r="R66" s="324">
        <v>0</v>
      </c>
      <c r="S66" s="324">
        <v>0</v>
      </c>
      <c r="T66" s="324">
        <v>2</v>
      </c>
      <c r="U66" s="324">
        <v>170500</v>
      </c>
      <c r="V66" s="324">
        <v>0</v>
      </c>
      <c r="W66" s="324">
        <v>0</v>
      </c>
      <c r="X66" s="324">
        <v>0</v>
      </c>
      <c r="Y66" s="324">
        <v>2243000</v>
      </c>
      <c r="Z66" s="324">
        <v>0</v>
      </c>
      <c r="AA66" s="324">
        <v>0</v>
      </c>
      <c r="AB66" s="324">
        <v>0</v>
      </c>
      <c r="AC66" s="324">
        <v>0</v>
      </c>
      <c r="AD66" s="324">
        <v>0</v>
      </c>
      <c r="AE66" s="324">
        <v>0</v>
      </c>
      <c r="AF66" s="324">
        <v>0</v>
      </c>
      <c r="AG66" s="324">
        <v>0</v>
      </c>
      <c r="AH66" s="324">
        <v>0</v>
      </c>
      <c r="AI66" s="324">
        <v>0</v>
      </c>
      <c r="AJ66" s="324">
        <v>0</v>
      </c>
      <c r="AK66" s="324">
        <v>0</v>
      </c>
    </row>
    <row r="67" ht="12.75">
      <c r="A67" s="324" t="s">
        <v>345</v>
      </c>
    </row>
    <row r="68" ht="12.75">
      <c r="A68" s="324" t="s">
        <v>346</v>
      </c>
    </row>
    <row r="69" spans="1:37" ht="12.75">
      <c r="A69" s="324" t="s">
        <v>347</v>
      </c>
      <c r="B69" s="324">
        <v>2</v>
      </c>
      <c r="C69" s="324">
        <v>88527</v>
      </c>
      <c r="D69" s="324">
        <v>0</v>
      </c>
      <c r="E69" s="324">
        <v>0</v>
      </c>
      <c r="F69" s="324">
        <v>0</v>
      </c>
      <c r="G69" s="324">
        <v>3500000</v>
      </c>
      <c r="H69" s="324">
        <v>2</v>
      </c>
      <c r="I69" s="324">
        <v>0</v>
      </c>
      <c r="J69" s="324">
        <v>0</v>
      </c>
      <c r="K69" s="324">
        <v>1</v>
      </c>
      <c r="L69" s="324">
        <v>28</v>
      </c>
      <c r="M69" s="324">
        <v>0</v>
      </c>
      <c r="N69" s="324">
        <v>0</v>
      </c>
      <c r="O69" s="324">
        <v>0</v>
      </c>
      <c r="P69" s="324">
        <v>0</v>
      </c>
      <c r="Q69" s="324">
        <v>0</v>
      </c>
      <c r="R69" s="324">
        <v>0</v>
      </c>
      <c r="S69" s="324">
        <v>0</v>
      </c>
      <c r="T69" s="324">
        <v>2</v>
      </c>
      <c r="U69" s="324">
        <v>4227</v>
      </c>
      <c r="V69" s="324">
        <v>0</v>
      </c>
      <c r="W69" s="324">
        <v>0</v>
      </c>
      <c r="X69" s="324">
        <v>0</v>
      </c>
      <c r="Y69" s="324">
        <v>3010000</v>
      </c>
      <c r="Z69" s="324">
        <v>0</v>
      </c>
      <c r="AA69" s="324">
        <v>2</v>
      </c>
      <c r="AB69" s="324">
        <v>0</v>
      </c>
      <c r="AC69" s="324">
        <v>1</v>
      </c>
      <c r="AD69" s="324">
        <v>12</v>
      </c>
      <c r="AE69" s="324">
        <v>0</v>
      </c>
      <c r="AF69" s="324">
        <v>0</v>
      </c>
      <c r="AG69" s="324">
        <v>0</v>
      </c>
      <c r="AH69" s="324">
        <v>0</v>
      </c>
      <c r="AI69" s="324">
        <v>1</v>
      </c>
      <c r="AJ69" s="324">
        <v>8</v>
      </c>
      <c r="AK69" s="324">
        <v>0</v>
      </c>
    </row>
    <row r="70" spans="1:37" ht="12.75">
      <c r="A70" s="324" t="s">
        <v>348</v>
      </c>
      <c r="B70" s="324">
        <v>8</v>
      </c>
      <c r="C70" s="324">
        <v>102100</v>
      </c>
      <c r="D70" s="324">
        <v>1</v>
      </c>
      <c r="E70" s="324">
        <v>2</v>
      </c>
      <c r="F70" s="324">
        <v>2</v>
      </c>
      <c r="G70" s="324">
        <v>2405000</v>
      </c>
      <c r="H70" s="324">
        <v>0</v>
      </c>
      <c r="I70" s="324">
        <v>0</v>
      </c>
      <c r="J70" s="324">
        <v>0</v>
      </c>
      <c r="K70" s="324">
        <v>2</v>
      </c>
      <c r="L70" s="324">
        <v>21</v>
      </c>
      <c r="M70" s="324">
        <v>0</v>
      </c>
      <c r="N70" s="324">
        <v>0</v>
      </c>
      <c r="O70" s="324">
        <v>0</v>
      </c>
      <c r="P70" s="324">
        <v>0</v>
      </c>
      <c r="Q70" s="324">
        <v>0</v>
      </c>
      <c r="R70" s="324">
        <v>0</v>
      </c>
      <c r="S70" s="324">
        <v>0</v>
      </c>
      <c r="T70" s="324">
        <v>5</v>
      </c>
      <c r="U70" s="324">
        <v>186172</v>
      </c>
      <c r="V70" s="324">
        <v>0</v>
      </c>
      <c r="W70" s="324">
        <v>1</v>
      </c>
      <c r="X70" s="324">
        <v>4</v>
      </c>
      <c r="Y70" s="324">
        <v>5320000</v>
      </c>
      <c r="Z70" s="324">
        <v>0</v>
      </c>
      <c r="AA70" s="324">
        <v>0</v>
      </c>
      <c r="AB70" s="324">
        <v>0</v>
      </c>
      <c r="AC70" s="324">
        <v>2</v>
      </c>
      <c r="AD70" s="324">
        <v>26</v>
      </c>
      <c r="AE70" s="324">
        <v>0</v>
      </c>
      <c r="AF70" s="324">
        <v>0</v>
      </c>
      <c r="AG70" s="324">
        <v>0</v>
      </c>
      <c r="AH70" s="324">
        <v>0</v>
      </c>
      <c r="AI70" s="324">
        <v>0</v>
      </c>
      <c r="AJ70" s="324">
        <v>0</v>
      </c>
      <c r="AK70" s="324">
        <v>0</v>
      </c>
    </row>
    <row r="71" spans="1:37" ht="12.75">
      <c r="A71" s="324" t="s">
        <v>349</v>
      </c>
      <c r="T71" s="324">
        <v>2</v>
      </c>
      <c r="U71" s="324">
        <v>25000</v>
      </c>
      <c r="V71" s="324">
        <v>0</v>
      </c>
      <c r="W71" s="324">
        <v>4</v>
      </c>
      <c r="X71" s="324">
        <v>0</v>
      </c>
      <c r="Y71" s="324">
        <v>300000</v>
      </c>
      <c r="Z71" s="324">
        <v>0</v>
      </c>
      <c r="AA71" s="324">
        <v>0</v>
      </c>
      <c r="AB71" s="324">
        <v>0</v>
      </c>
      <c r="AC71" s="324">
        <v>0</v>
      </c>
      <c r="AD71" s="324">
        <v>0</v>
      </c>
      <c r="AE71" s="324">
        <v>0</v>
      </c>
      <c r="AF71" s="324">
        <v>0</v>
      </c>
      <c r="AG71" s="324">
        <v>0</v>
      </c>
      <c r="AH71" s="324">
        <v>0</v>
      </c>
      <c r="AI71" s="324">
        <v>0</v>
      </c>
      <c r="AJ71" s="324">
        <v>0</v>
      </c>
      <c r="AK71" s="324">
        <v>0</v>
      </c>
    </row>
    <row r="72" spans="1:37" ht="12.75">
      <c r="A72" s="324" t="s">
        <v>350</v>
      </c>
      <c r="B72" s="324">
        <v>115</v>
      </c>
      <c r="C72" s="324">
        <v>9747664</v>
      </c>
      <c r="D72" s="324">
        <v>0</v>
      </c>
      <c r="E72" s="324">
        <v>3</v>
      </c>
      <c r="F72" s="324">
        <v>2</v>
      </c>
      <c r="G72" s="324">
        <v>36725000</v>
      </c>
      <c r="H72" s="324">
        <v>85</v>
      </c>
      <c r="I72" s="324">
        <v>0</v>
      </c>
      <c r="J72" s="324">
        <v>0</v>
      </c>
      <c r="K72" s="324">
        <v>1</v>
      </c>
      <c r="L72" s="324">
        <v>259</v>
      </c>
      <c r="M72" s="324">
        <v>32</v>
      </c>
      <c r="N72" s="324">
        <v>0</v>
      </c>
      <c r="O72" s="324">
        <v>0</v>
      </c>
      <c r="P72" s="324">
        <v>0</v>
      </c>
      <c r="Q72" s="324">
        <v>0</v>
      </c>
      <c r="R72" s="324">
        <v>0</v>
      </c>
      <c r="S72" s="324">
        <v>0</v>
      </c>
      <c r="T72" s="324">
        <v>139</v>
      </c>
      <c r="U72" s="324">
        <v>17024143</v>
      </c>
      <c r="V72" s="324">
        <v>0</v>
      </c>
      <c r="W72" s="324">
        <v>11</v>
      </c>
      <c r="X72" s="324">
        <v>2</v>
      </c>
      <c r="Y72" s="324">
        <v>46750000</v>
      </c>
      <c r="Z72" s="324">
        <v>83</v>
      </c>
      <c r="AA72" s="324">
        <v>0</v>
      </c>
      <c r="AB72" s="324">
        <v>0</v>
      </c>
      <c r="AC72" s="324">
        <v>6</v>
      </c>
      <c r="AD72" s="324">
        <v>377</v>
      </c>
      <c r="AE72" s="324">
        <v>41</v>
      </c>
      <c r="AF72" s="324">
        <v>0</v>
      </c>
      <c r="AG72" s="324">
        <v>0</v>
      </c>
      <c r="AH72" s="324">
        <v>0</v>
      </c>
      <c r="AI72" s="324">
        <v>0</v>
      </c>
      <c r="AJ72" s="324">
        <v>0</v>
      </c>
      <c r="AK72" s="324">
        <v>0</v>
      </c>
    </row>
    <row r="73" spans="1:37" ht="12.75">
      <c r="A73" s="324" t="s">
        <v>351</v>
      </c>
      <c r="B73" s="324">
        <v>19</v>
      </c>
      <c r="C73" s="324">
        <v>3557213</v>
      </c>
      <c r="D73" s="324">
        <v>0</v>
      </c>
      <c r="E73" s="324">
        <v>0</v>
      </c>
      <c r="F73" s="324">
        <v>9</v>
      </c>
      <c r="G73" s="324">
        <v>19620000</v>
      </c>
      <c r="H73" s="324">
        <v>4</v>
      </c>
      <c r="I73" s="324">
        <v>0</v>
      </c>
      <c r="J73" s="324">
        <v>0</v>
      </c>
      <c r="K73" s="324">
        <v>3</v>
      </c>
      <c r="L73" s="324">
        <v>134</v>
      </c>
      <c r="M73" s="324">
        <v>0</v>
      </c>
      <c r="N73" s="324">
        <v>0</v>
      </c>
      <c r="O73" s="324">
        <v>0</v>
      </c>
      <c r="P73" s="324">
        <v>0</v>
      </c>
      <c r="Q73" s="324">
        <v>0</v>
      </c>
      <c r="R73" s="324">
        <v>0</v>
      </c>
      <c r="S73" s="324">
        <v>0</v>
      </c>
      <c r="T73" s="324">
        <v>12</v>
      </c>
      <c r="U73" s="324">
        <v>1546000</v>
      </c>
      <c r="V73" s="324">
        <v>0</v>
      </c>
      <c r="W73" s="324">
        <v>0</v>
      </c>
      <c r="X73" s="324">
        <v>9</v>
      </c>
      <c r="Y73" s="324">
        <v>34600000</v>
      </c>
      <c r="Z73" s="324">
        <v>0</v>
      </c>
      <c r="AA73" s="324">
        <v>0</v>
      </c>
      <c r="AB73" s="324">
        <v>0</v>
      </c>
      <c r="AC73" s="324">
        <v>2</v>
      </c>
      <c r="AD73" s="324">
        <v>133</v>
      </c>
      <c r="AE73" s="324">
        <v>0</v>
      </c>
      <c r="AF73" s="324">
        <v>0</v>
      </c>
      <c r="AG73" s="324">
        <v>0</v>
      </c>
      <c r="AH73" s="324">
        <v>0</v>
      </c>
      <c r="AI73" s="324">
        <v>0</v>
      </c>
      <c r="AJ73" s="324">
        <v>0</v>
      </c>
      <c r="AK73" s="324">
        <v>0</v>
      </c>
    </row>
    <row r="74" spans="1:37" ht="12.75">
      <c r="A74" s="324" t="s">
        <v>352</v>
      </c>
      <c r="B74" s="324">
        <v>3</v>
      </c>
      <c r="C74" s="324">
        <v>62300</v>
      </c>
      <c r="D74" s="324">
        <v>0</v>
      </c>
      <c r="E74" s="324">
        <v>0</v>
      </c>
      <c r="F74" s="324">
        <v>0</v>
      </c>
      <c r="G74" s="324">
        <v>2250000</v>
      </c>
      <c r="H74" s="324">
        <v>0</v>
      </c>
      <c r="I74" s="324">
        <v>0</v>
      </c>
      <c r="J74" s="324">
        <v>0</v>
      </c>
      <c r="K74" s="324">
        <v>0</v>
      </c>
      <c r="L74" s="324">
        <v>0</v>
      </c>
      <c r="M74" s="324">
        <v>0</v>
      </c>
      <c r="N74" s="324">
        <v>0</v>
      </c>
      <c r="O74" s="324">
        <v>0</v>
      </c>
      <c r="P74" s="324">
        <v>0</v>
      </c>
      <c r="Q74" s="324">
        <v>0</v>
      </c>
      <c r="R74" s="324">
        <v>0</v>
      </c>
      <c r="S74" s="324">
        <v>0</v>
      </c>
      <c r="T74" s="324">
        <v>3</v>
      </c>
      <c r="U74" s="324">
        <v>37700</v>
      </c>
      <c r="V74" s="324">
        <v>0</v>
      </c>
      <c r="W74" s="324">
        <v>0</v>
      </c>
      <c r="X74" s="324">
        <v>0</v>
      </c>
      <c r="Y74" s="324">
        <v>8000000</v>
      </c>
      <c r="Z74" s="324">
        <v>0</v>
      </c>
      <c r="AA74" s="324">
        <v>0</v>
      </c>
      <c r="AB74" s="324">
        <v>0</v>
      </c>
      <c r="AC74" s="324">
        <v>0</v>
      </c>
      <c r="AD74" s="324">
        <v>0</v>
      </c>
      <c r="AE74" s="324">
        <v>0</v>
      </c>
      <c r="AF74" s="324">
        <v>0</v>
      </c>
      <c r="AG74" s="324">
        <v>0</v>
      </c>
      <c r="AH74" s="324">
        <v>0</v>
      </c>
      <c r="AI74" s="324">
        <v>0</v>
      </c>
      <c r="AJ74" s="324">
        <v>0</v>
      </c>
      <c r="AK74" s="324">
        <v>0</v>
      </c>
    </row>
    <row r="75" spans="1:37" ht="12.75">
      <c r="A75" s="324" t="s">
        <v>353</v>
      </c>
      <c r="B75" s="324">
        <v>1</v>
      </c>
      <c r="C75" s="324">
        <v>100000</v>
      </c>
      <c r="D75" s="324">
        <v>0</v>
      </c>
      <c r="E75" s="324">
        <v>0</v>
      </c>
      <c r="F75" s="324">
        <v>0</v>
      </c>
      <c r="G75" s="324">
        <v>0</v>
      </c>
      <c r="H75" s="324">
        <v>0</v>
      </c>
      <c r="I75" s="324">
        <v>0</v>
      </c>
      <c r="J75" s="324">
        <v>0</v>
      </c>
      <c r="K75" s="324">
        <v>1</v>
      </c>
      <c r="L75" s="324">
        <v>210</v>
      </c>
      <c r="M75" s="324">
        <v>0</v>
      </c>
      <c r="N75" s="324">
        <v>0</v>
      </c>
      <c r="O75" s="324">
        <v>0</v>
      </c>
      <c r="P75" s="324">
        <v>0</v>
      </c>
      <c r="Q75" s="324">
        <v>0</v>
      </c>
      <c r="R75" s="324">
        <v>0</v>
      </c>
      <c r="S75" s="324">
        <v>0</v>
      </c>
      <c r="T75" s="324">
        <v>1</v>
      </c>
      <c r="U75" s="324">
        <v>248500</v>
      </c>
      <c r="V75" s="324">
        <v>0</v>
      </c>
      <c r="W75" s="324">
        <v>0</v>
      </c>
      <c r="X75" s="324">
        <v>0</v>
      </c>
      <c r="Y75" s="324">
        <v>100000</v>
      </c>
      <c r="Z75" s="324">
        <v>0</v>
      </c>
      <c r="AA75" s="324">
        <v>0</v>
      </c>
      <c r="AB75" s="324">
        <v>0</v>
      </c>
      <c r="AC75" s="324">
        <v>0</v>
      </c>
      <c r="AD75" s="324">
        <v>0</v>
      </c>
      <c r="AE75" s="324">
        <v>0</v>
      </c>
      <c r="AF75" s="324">
        <v>0</v>
      </c>
      <c r="AG75" s="324">
        <v>0</v>
      </c>
      <c r="AH75" s="324">
        <v>0</v>
      </c>
      <c r="AI75" s="324">
        <v>0</v>
      </c>
      <c r="AJ75" s="324">
        <v>0</v>
      </c>
      <c r="AK75" s="324">
        <v>0</v>
      </c>
    </row>
    <row r="76" spans="1:37" ht="12.75">
      <c r="A76" s="324" t="s">
        <v>85</v>
      </c>
      <c r="B76" s="324">
        <v>2</v>
      </c>
      <c r="C76" s="324">
        <v>27860</v>
      </c>
      <c r="D76" s="324">
        <v>0</v>
      </c>
      <c r="E76" s="324">
        <v>0</v>
      </c>
      <c r="F76" s="324">
        <v>0</v>
      </c>
      <c r="G76" s="324">
        <v>1000000</v>
      </c>
      <c r="H76" s="324">
        <v>0</v>
      </c>
      <c r="I76" s="324">
        <v>0</v>
      </c>
      <c r="J76" s="324">
        <v>0</v>
      </c>
      <c r="K76" s="324">
        <v>0</v>
      </c>
      <c r="L76" s="324">
        <v>0</v>
      </c>
      <c r="M76" s="324">
        <v>0</v>
      </c>
      <c r="N76" s="324">
        <v>0</v>
      </c>
      <c r="O76" s="324">
        <v>0</v>
      </c>
      <c r="P76" s="324">
        <v>0</v>
      </c>
      <c r="Q76" s="324">
        <v>0</v>
      </c>
      <c r="R76" s="324">
        <v>0</v>
      </c>
      <c r="S76" s="324">
        <v>0</v>
      </c>
      <c r="T76" s="324">
        <v>4</v>
      </c>
      <c r="U76" s="324">
        <v>650000</v>
      </c>
      <c r="V76" s="324">
        <v>0</v>
      </c>
      <c r="W76" s="324">
        <v>0</v>
      </c>
      <c r="X76" s="324">
        <v>7</v>
      </c>
      <c r="Y76" s="324">
        <v>3100000</v>
      </c>
      <c r="Z76" s="324">
        <v>0</v>
      </c>
      <c r="AA76" s="324">
        <v>0</v>
      </c>
      <c r="AB76" s="324">
        <v>0</v>
      </c>
      <c r="AC76" s="324">
        <v>1</v>
      </c>
      <c r="AD76" s="324">
        <v>77</v>
      </c>
      <c r="AE76" s="324">
        <v>0</v>
      </c>
      <c r="AF76" s="324">
        <v>0</v>
      </c>
      <c r="AG76" s="324">
        <v>0</v>
      </c>
      <c r="AH76" s="324">
        <v>0</v>
      </c>
      <c r="AI76" s="324">
        <v>0</v>
      </c>
      <c r="AJ76" s="324">
        <v>0</v>
      </c>
      <c r="AK76" s="324">
        <v>0</v>
      </c>
    </row>
    <row r="77" spans="1:37" ht="12.75">
      <c r="A77" s="324" t="s">
        <v>354</v>
      </c>
      <c r="B77" s="324">
        <v>4</v>
      </c>
      <c r="C77" s="324">
        <v>186000</v>
      </c>
      <c r="D77" s="324">
        <v>0</v>
      </c>
      <c r="E77" s="324">
        <v>0</v>
      </c>
      <c r="F77" s="324">
        <v>0</v>
      </c>
      <c r="G77" s="324">
        <v>860000</v>
      </c>
      <c r="H77" s="324">
        <v>0</v>
      </c>
      <c r="I77" s="324">
        <v>0</v>
      </c>
      <c r="J77" s="324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24">
        <v>0</v>
      </c>
      <c r="Q77" s="324">
        <v>0</v>
      </c>
      <c r="R77" s="324">
        <v>0</v>
      </c>
      <c r="S77" s="324">
        <v>0</v>
      </c>
      <c r="T77" s="324">
        <v>9</v>
      </c>
      <c r="U77" s="324">
        <v>1332500</v>
      </c>
      <c r="V77" s="324">
        <v>1</v>
      </c>
      <c r="W77" s="324">
        <v>0</v>
      </c>
      <c r="X77" s="324">
        <v>0</v>
      </c>
      <c r="Y77" s="324">
        <v>7023000</v>
      </c>
      <c r="Z77" s="324">
        <v>0</v>
      </c>
      <c r="AA77" s="324">
        <v>0</v>
      </c>
      <c r="AB77" s="324">
        <v>0</v>
      </c>
      <c r="AC77" s="324">
        <v>1</v>
      </c>
      <c r="AD77" s="324">
        <v>33</v>
      </c>
      <c r="AE77" s="324">
        <v>0</v>
      </c>
      <c r="AF77" s="324">
        <v>0</v>
      </c>
      <c r="AG77" s="324">
        <v>0</v>
      </c>
      <c r="AH77" s="324">
        <v>0</v>
      </c>
      <c r="AI77" s="324">
        <v>0</v>
      </c>
      <c r="AJ77" s="324">
        <v>0</v>
      </c>
      <c r="AK77" s="324">
        <v>0</v>
      </c>
    </row>
    <row r="78" spans="1:37" ht="12.75">
      <c r="A78" s="324" t="s">
        <v>355</v>
      </c>
      <c r="B78" s="324">
        <v>2</v>
      </c>
      <c r="C78" s="324">
        <v>398200</v>
      </c>
      <c r="D78" s="324">
        <v>0</v>
      </c>
      <c r="E78" s="324">
        <v>0</v>
      </c>
      <c r="F78" s="324">
        <v>0</v>
      </c>
      <c r="G78" s="324">
        <v>5100000</v>
      </c>
      <c r="H78" s="324">
        <v>0</v>
      </c>
      <c r="I78" s="324">
        <v>0</v>
      </c>
      <c r="J78" s="324">
        <v>0</v>
      </c>
      <c r="K78" s="324">
        <v>1</v>
      </c>
      <c r="L78" s="324">
        <v>470</v>
      </c>
      <c r="M78" s="324">
        <v>0</v>
      </c>
      <c r="N78" s="324">
        <v>0</v>
      </c>
      <c r="O78" s="324">
        <v>0</v>
      </c>
      <c r="P78" s="324">
        <v>0</v>
      </c>
      <c r="Q78" s="324">
        <v>0</v>
      </c>
      <c r="R78" s="324">
        <v>0</v>
      </c>
      <c r="S78" s="324">
        <v>0</v>
      </c>
      <c r="T78" s="324">
        <v>4</v>
      </c>
      <c r="U78" s="324">
        <v>1949832</v>
      </c>
      <c r="V78" s="324">
        <v>0</v>
      </c>
      <c r="W78" s="324">
        <v>0</v>
      </c>
      <c r="X78" s="324">
        <v>0</v>
      </c>
      <c r="Y78" s="324">
        <v>2550000</v>
      </c>
      <c r="Z78" s="324">
        <v>0</v>
      </c>
      <c r="AA78" s="324">
        <v>0</v>
      </c>
      <c r="AB78" s="324">
        <v>0</v>
      </c>
      <c r="AC78" s="324">
        <v>3</v>
      </c>
      <c r="AD78" s="324">
        <v>748</v>
      </c>
      <c r="AE78" s="324">
        <v>0</v>
      </c>
      <c r="AF78" s="324">
        <v>0</v>
      </c>
      <c r="AG78" s="324">
        <v>0</v>
      </c>
      <c r="AH78" s="324">
        <v>0</v>
      </c>
      <c r="AI78" s="324">
        <v>0</v>
      </c>
      <c r="AJ78" s="324">
        <v>0</v>
      </c>
      <c r="AK78" s="324">
        <v>0</v>
      </c>
    </row>
    <row r="79" spans="1:19" ht="12.75">
      <c r="A79" s="324" t="s">
        <v>88</v>
      </c>
      <c r="B79" s="324">
        <v>3</v>
      </c>
      <c r="C79" s="324">
        <v>655000</v>
      </c>
      <c r="D79" s="324">
        <v>1</v>
      </c>
      <c r="E79" s="324">
        <v>0</v>
      </c>
      <c r="F79" s="324">
        <v>0</v>
      </c>
      <c r="G79" s="324">
        <v>2100000</v>
      </c>
      <c r="H79" s="324">
        <v>0</v>
      </c>
      <c r="I79" s="324">
        <v>0</v>
      </c>
      <c r="J79" s="324">
        <v>0</v>
      </c>
      <c r="K79" s="324">
        <v>1</v>
      </c>
      <c r="L79" s="324">
        <v>300</v>
      </c>
      <c r="M79" s="324">
        <v>0</v>
      </c>
      <c r="N79" s="324">
        <v>0</v>
      </c>
      <c r="O79" s="324">
        <v>0</v>
      </c>
      <c r="P79" s="324">
        <v>0</v>
      </c>
      <c r="Q79" s="324">
        <v>0</v>
      </c>
      <c r="R79" s="324">
        <v>0</v>
      </c>
      <c r="S79" s="324">
        <v>0</v>
      </c>
    </row>
    <row r="80" spans="1:37" ht="12.75">
      <c r="A80" s="324" t="s">
        <v>356</v>
      </c>
      <c r="B80" s="324">
        <v>16</v>
      </c>
      <c r="C80" s="324">
        <v>399200</v>
      </c>
      <c r="D80" s="324">
        <v>0</v>
      </c>
      <c r="E80" s="324">
        <v>6</v>
      </c>
      <c r="F80" s="324">
        <v>1</v>
      </c>
      <c r="G80" s="324">
        <v>8354000</v>
      </c>
      <c r="H80" s="324">
        <v>0</v>
      </c>
      <c r="I80" s="324">
        <v>0</v>
      </c>
      <c r="J80" s="324">
        <v>0</v>
      </c>
      <c r="K80" s="324">
        <v>4</v>
      </c>
      <c r="L80" s="324">
        <v>310</v>
      </c>
      <c r="M80" s="324">
        <v>0</v>
      </c>
      <c r="N80" s="324">
        <v>0</v>
      </c>
      <c r="O80" s="324">
        <v>3</v>
      </c>
      <c r="P80" s="324">
        <v>0</v>
      </c>
      <c r="Q80" s="324">
        <v>0</v>
      </c>
      <c r="R80" s="324">
        <v>0</v>
      </c>
      <c r="S80" s="324">
        <v>0</v>
      </c>
      <c r="T80" s="324">
        <v>22</v>
      </c>
      <c r="U80" s="324">
        <v>461480</v>
      </c>
      <c r="V80" s="324">
        <v>1</v>
      </c>
      <c r="W80" s="324">
        <v>14</v>
      </c>
      <c r="X80" s="324">
        <v>0</v>
      </c>
      <c r="Y80" s="324">
        <v>1743000</v>
      </c>
      <c r="Z80" s="324">
        <v>0</v>
      </c>
      <c r="AA80" s="324">
        <v>0</v>
      </c>
      <c r="AB80" s="324">
        <v>0</v>
      </c>
      <c r="AC80" s="324">
        <v>2</v>
      </c>
      <c r="AD80" s="324">
        <v>65</v>
      </c>
      <c r="AE80" s="324">
        <v>0</v>
      </c>
      <c r="AF80" s="324">
        <v>0</v>
      </c>
      <c r="AG80" s="324">
        <v>0</v>
      </c>
      <c r="AH80" s="324">
        <v>0</v>
      </c>
      <c r="AI80" s="324">
        <v>0</v>
      </c>
      <c r="AJ80" s="324">
        <v>0</v>
      </c>
      <c r="AK80" s="324">
        <v>0</v>
      </c>
    </row>
    <row r="81" spans="1:37" ht="12.75">
      <c r="A81" s="324" t="s">
        <v>357</v>
      </c>
      <c r="B81" s="324">
        <v>129</v>
      </c>
      <c r="C81" s="324">
        <v>9563181</v>
      </c>
      <c r="D81" s="324">
        <v>2</v>
      </c>
      <c r="E81" s="324">
        <v>5</v>
      </c>
      <c r="F81" s="324">
        <v>29</v>
      </c>
      <c r="G81" s="324">
        <v>52575000</v>
      </c>
      <c r="H81" s="324">
        <v>38</v>
      </c>
      <c r="I81" s="324">
        <v>2</v>
      </c>
      <c r="J81" s="324">
        <v>15</v>
      </c>
      <c r="K81" s="324">
        <v>48</v>
      </c>
      <c r="L81" s="324">
        <v>2998</v>
      </c>
      <c r="M81" s="324">
        <v>7</v>
      </c>
      <c r="N81" s="324">
        <v>0</v>
      </c>
      <c r="O81" s="324">
        <v>61</v>
      </c>
      <c r="P81" s="324">
        <v>0</v>
      </c>
      <c r="Q81" s="324">
        <v>1</v>
      </c>
      <c r="R81" s="324">
        <v>0</v>
      </c>
      <c r="S81" s="324">
        <v>5</v>
      </c>
      <c r="T81" s="324">
        <v>141</v>
      </c>
      <c r="U81" s="324">
        <v>12301687</v>
      </c>
      <c r="V81" s="324">
        <v>3</v>
      </c>
      <c r="W81" s="324">
        <v>5</v>
      </c>
      <c r="X81" s="324">
        <v>50</v>
      </c>
      <c r="Y81" s="324">
        <v>62284000</v>
      </c>
      <c r="Z81" s="324">
        <v>29</v>
      </c>
      <c r="AA81" s="324">
        <v>4</v>
      </c>
      <c r="AB81" s="324">
        <v>0</v>
      </c>
      <c r="AC81" s="324">
        <v>49</v>
      </c>
      <c r="AD81" s="324">
        <v>2605</v>
      </c>
      <c r="AE81" s="324">
        <v>13</v>
      </c>
      <c r="AF81" s="324">
        <v>0</v>
      </c>
      <c r="AG81" s="324">
        <v>65</v>
      </c>
      <c r="AH81" s="324">
        <v>0</v>
      </c>
      <c r="AI81" s="324">
        <v>2</v>
      </c>
      <c r="AJ81" s="324">
        <v>5</v>
      </c>
      <c r="AK81" s="324">
        <v>0</v>
      </c>
    </row>
    <row r="82" spans="1:37" ht="12.75">
      <c r="A82" s="324" t="s">
        <v>358</v>
      </c>
      <c r="B82" s="324">
        <v>4</v>
      </c>
      <c r="C82" s="324">
        <v>107100</v>
      </c>
      <c r="D82" s="324">
        <v>0</v>
      </c>
      <c r="E82" s="324">
        <v>0</v>
      </c>
      <c r="F82" s="324">
        <v>0</v>
      </c>
      <c r="G82" s="324">
        <v>6100000</v>
      </c>
      <c r="H82" s="324">
        <v>0</v>
      </c>
      <c r="I82" s="324">
        <v>0</v>
      </c>
      <c r="J82" s="324">
        <v>0</v>
      </c>
      <c r="K82" s="324">
        <v>0</v>
      </c>
      <c r="L82" s="324">
        <v>0</v>
      </c>
      <c r="M82" s="324">
        <v>0</v>
      </c>
      <c r="N82" s="324">
        <v>0</v>
      </c>
      <c r="O82" s="324">
        <v>0</v>
      </c>
      <c r="P82" s="324">
        <v>0</v>
      </c>
      <c r="Q82" s="324">
        <v>0</v>
      </c>
      <c r="R82" s="324">
        <v>0</v>
      </c>
      <c r="S82" s="324">
        <v>0</v>
      </c>
      <c r="T82" s="324">
        <v>3</v>
      </c>
      <c r="U82" s="324">
        <v>3457497</v>
      </c>
      <c r="V82" s="324">
        <v>0</v>
      </c>
      <c r="W82" s="324">
        <v>0</v>
      </c>
      <c r="X82" s="324">
        <v>0</v>
      </c>
      <c r="Y82" s="324">
        <v>4300000</v>
      </c>
      <c r="Z82" s="324">
        <v>0</v>
      </c>
      <c r="AA82" s="324">
        <v>0</v>
      </c>
      <c r="AB82" s="324">
        <v>0</v>
      </c>
      <c r="AC82" s="324">
        <v>1</v>
      </c>
      <c r="AD82" s="324">
        <v>180</v>
      </c>
      <c r="AE82" s="324">
        <v>0</v>
      </c>
      <c r="AF82" s="324">
        <v>0</v>
      </c>
      <c r="AG82" s="324">
        <v>0</v>
      </c>
      <c r="AH82" s="324">
        <v>0</v>
      </c>
      <c r="AI82" s="324">
        <v>0</v>
      </c>
      <c r="AJ82" s="324">
        <v>0</v>
      </c>
      <c r="AK82" s="324">
        <v>0</v>
      </c>
    </row>
    <row r="83" spans="1:37" ht="12.75">
      <c r="A83" s="324" t="s">
        <v>359</v>
      </c>
      <c r="B83" s="324">
        <v>301</v>
      </c>
      <c r="C83" s="324">
        <v>20913757</v>
      </c>
      <c r="D83" s="324">
        <v>23</v>
      </c>
      <c r="E83" s="324">
        <v>12</v>
      </c>
      <c r="F83" s="324">
        <v>140</v>
      </c>
      <c r="G83" s="324">
        <v>199940300</v>
      </c>
      <c r="H83" s="324">
        <v>35</v>
      </c>
      <c r="I83" s="324">
        <v>15</v>
      </c>
      <c r="J83" s="324">
        <v>40</v>
      </c>
      <c r="K83" s="324">
        <v>161</v>
      </c>
      <c r="L83" s="324">
        <v>10613</v>
      </c>
      <c r="M83" s="324">
        <v>3</v>
      </c>
      <c r="N83" s="324">
        <v>22</v>
      </c>
      <c r="O83" s="324">
        <v>35</v>
      </c>
      <c r="P83" s="324">
        <v>0</v>
      </c>
      <c r="Q83" s="324">
        <v>6</v>
      </c>
      <c r="R83" s="324">
        <v>17</v>
      </c>
      <c r="S83" s="324">
        <v>11</v>
      </c>
      <c r="T83" s="324">
        <v>298</v>
      </c>
      <c r="U83" s="324">
        <v>25111167</v>
      </c>
      <c r="V83" s="324">
        <v>13</v>
      </c>
      <c r="W83" s="324">
        <v>16</v>
      </c>
      <c r="X83" s="324">
        <v>64</v>
      </c>
      <c r="Y83" s="324">
        <v>223201000</v>
      </c>
      <c r="Z83" s="324">
        <v>15</v>
      </c>
      <c r="AA83" s="324">
        <v>6</v>
      </c>
      <c r="AB83" s="324">
        <v>7</v>
      </c>
      <c r="AC83" s="324">
        <v>157</v>
      </c>
      <c r="AD83" s="324">
        <v>12221</v>
      </c>
      <c r="AE83" s="324">
        <v>8</v>
      </c>
      <c r="AF83" s="324">
        <v>2</v>
      </c>
      <c r="AG83" s="324">
        <v>51</v>
      </c>
      <c r="AH83" s="324">
        <v>0</v>
      </c>
      <c r="AI83" s="324">
        <v>7</v>
      </c>
      <c r="AJ83" s="324">
        <v>254</v>
      </c>
      <c r="AK83" s="324">
        <v>45</v>
      </c>
    </row>
    <row r="84" spans="1:37" ht="12.75">
      <c r="A84" s="324" t="s">
        <v>360</v>
      </c>
      <c r="B84" s="324">
        <v>226</v>
      </c>
      <c r="C84" s="324">
        <v>9781048</v>
      </c>
      <c r="D84" s="324">
        <v>7</v>
      </c>
      <c r="E84" s="324">
        <v>4</v>
      </c>
      <c r="F84" s="324">
        <v>4</v>
      </c>
      <c r="G84" s="324">
        <v>97375000</v>
      </c>
      <c r="H84" s="324">
        <v>7</v>
      </c>
      <c r="I84" s="324">
        <v>8</v>
      </c>
      <c r="J84" s="324">
        <v>23</v>
      </c>
      <c r="K84" s="324">
        <v>125</v>
      </c>
      <c r="L84" s="324">
        <v>4950</v>
      </c>
      <c r="M84" s="324">
        <v>1</v>
      </c>
      <c r="N84" s="324">
        <v>0</v>
      </c>
      <c r="O84" s="324">
        <v>15</v>
      </c>
      <c r="P84" s="324">
        <v>0</v>
      </c>
      <c r="Q84" s="324">
        <v>3</v>
      </c>
      <c r="R84" s="324">
        <v>0</v>
      </c>
      <c r="S84" s="324">
        <v>0</v>
      </c>
      <c r="T84" s="324">
        <v>175</v>
      </c>
      <c r="U84" s="324">
        <v>8761212</v>
      </c>
      <c r="V84" s="324">
        <v>10</v>
      </c>
      <c r="W84" s="324">
        <v>3</v>
      </c>
      <c r="X84" s="324">
        <v>3</v>
      </c>
      <c r="Y84" s="324">
        <v>96950000</v>
      </c>
      <c r="Z84" s="324">
        <v>5</v>
      </c>
      <c r="AA84" s="324">
        <v>6</v>
      </c>
      <c r="AB84" s="324">
        <v>1502</v>
      </c>
      <c r="AC84" s="324">
        <v>81</v>
      </c>
      <c r="AD84" s="324">
        <v>2954</v>
      </c>
      <c r="AE84" s="324">
        <v>0</v>
      </c>
      <c r="AF84" s="324">
        <v>0</v>
      </c>
      <c r="AG84" s="324">
        <v>11</v>
      </c>
      <c r="AH84" s="324">
        <v>0</v>
      </c>
      <c r="AI84" s="324">
        <v>0</v>
      </c>
      <c r="AJ84" s="324">
        <v>25</v>
      </c>
      <c r="AK84" s="324">
        <v>0</v>
      </c>
    </row>
    <row r="85" spans="1:37" ht="12.75">
      <c r="A85" s="324" t="s">
        <v>361</v>
      </c>
      <c r="B85" s="324">
        <v>5</v>
      </c>
      <c r="C85" s="324">
        <v>260000</v>
      </c>
      <c r="D85" s="324">
        <v>3</v>
      </c>
      <c r="E85" s="324">
        <v>2</v>
      </c>
      <c r="F85" s="324">
        <v>0</v>
      </c>
      <c r="G85" s="324">
        <v>6050000</v>
      </c>
      <c r="H85" s="324">
        <v>0</v>
      </c>
      <c r="I85" s="324">
        <v>0</v>
      </c>
      <c r="J85" s="324">
        <v>0</v>
      </c>
      <c r="K85" s="324">
        <v>6</v>
      </c>
      <c r="L85" s="324">
        <v>230</v>
      </c>
      <c r="M85" s="324">
        <v>1</v>
      </c>
      <c r="N85" s="324">
        <v>0</v>
      </c>
      <c r="O85" s="324">
        <v>0</v>
      </c>
      <c r="P85" s="324">
        <v>0</v>
      </c>
      <c r="Q85" s="324">
        <v>0</v>
      </c>
      <c r="R85" s="324">
        <v>0</v>
      </c>
      <c r="S85" s="324">
        <v>0</v>
      </c>
      <c r="T85" s="324">
        <v>3</v>
      </c>
      <c r="U85" s="324">
        <v>80250</v>
      </c>
      <c r="V85" s="324">
        <v>0</v>
      </c>
      <c r="W85" s="324">
        <v>0</v>
      </c>
      <c r="X85" s="324">
        <v>1</v>
      </c>
      <c r="Y85" s="324">
        <v>1250000</v>
      </c>
      <c r="Z85" s="324">
        <v>0</v>
      </c>
      <c r="AA85" s="324">
        <v>0</v>
      </c>
      <c r="AB85" s="324">
        <v>0</v>
      </c>
      <c r="AC85" s="324">
        <v>1</v>
      </c>
      <c r="AD85" s="324">
        <v>180</v>
      </c>
      <c r="AE85" s="324">
        <v>0</v>
      </c>
      <c r="AF85" s="324">
        <v>0</v>
      </c>
      <c r="AG85" s="324">
        <v>0</v>
      </c>
      <c r="AH85" s="324">
        <v>0</v>
      </c>
      <c r="AI85" s="324">
        <v>0</v>
      </c>
      <c r="AJ85" s="324">
        <v>0</v>
      </c>
      <c r="AK85" s="324">
        <v>0</v>
      </c>
    </row>
    <row r="86" spans="1:37" ht="12.75">
      <c r="A86" s="324" t="s">
        <v>362</v>
      </c>
      <c r="B86" s="324">
        <v>302</v>
      </c>
      <c r="C86" s="324">
        <v>13538712</v>
      </c>
      <c r="D86" s="324">
        <v>65</v>
      </c>
      <c r="E86" s="324">
        <v>58</v>
      </c>
      <c r="F86" s="324">
        <v>200</v>
      </c>
      <c r="G86" s="324">
        <v>120400000</v>
      </c>
      <c r="H86" s="324">
        <v>11</v>
      </c>
      <c r="I86" s="324">
        <v>87</v>
      </c>
      <c r="J86" s="324">
        <v>4</v>
      </c>
      <c r="K86" s="324">
        <v>165</v>
      </c>
      <c r="L86" s="324">
        <v>7832</v>
      </c>
      <c r="M86" s="324">
        <v>4</v>
      </c>
      <c r="N86" s="324">
        <v>17</v>
      </c>
      <c r="O86" s="324">
        <v>61</v>
      </c>
      <c r="P86" s="324">
        <v>0</v>
      </c>
      <c r="Q86" s="324">
        <v>44</v>
      </c>
      <c r="R86" s="324">
        <v>8</v>
      </c>
      <c r="S86" s="324">
        <v>18</v>
      </c>
      <c r="T86" s="324">
        <v>285</v>
      </c>
      <c r="U86" s="324">
        <v>12685804</v>
      </c>
      <c r="V86" s="324">
        <v>64</v>
      </c>
      <c r="W86" s="324">
        <v>69</v>
      </c>
      <c r="X86" s="324">
        <v>224</v>
      </c>
      <c r="Y86" s="324">
        <v>137376000</v>
      </c>
      <c r="Z86" s="324">
        <v>14</v>
      </c>
      <c r="AA86" s="324">
        <v>0</v>
      </c>
      <c r="AB86" s="324">
        <v>5</v>
      </c>
      <c r="AC86" s="324">
        <v>144</v>
      </c>
      <c r="AD86" s="324">
        <v>5930</v>
      </c>
      <c r="AE86" s="324">
        <v>3</v>
      </c>
      <c r="AF86" s="324">
        <v>11</v>
      </c>
      <c r="AG86" s="324">
        <v>25</v>
      </c>
      <c r="AH86" s="324">
        <v>0</v>
      </c>
      <c r="AI86" s="324">
        <v>1</v>
      </c>
      <c r="AJ86" s="324">
        <v>7</v>
      </c>
      <c r="AK86" s="324">
        <v>0</v>
      </c>
    </row>
    <row r="87" spans="1:37" ht="12.75">
      <c r="A87" s="324" t="s">
        <v>213</v>
      </c>
      <c r="B87" s="324">
        <v>161</v>
      </c>
      <c r="C87" s="324">
        <v>6037295</v>
      </c>
      <c r="D87" s="324">
        <v>55</v>
      </c>
      <c r="E87" s="324">
        <v>32</v>
      </c>
      <c r="F87" s="324">
        <v>130</v>
      </c>
      <c r="G87" s="324">
        <v>61595000</v>
      </c>
      <c r="H87" s="324">
        <v>2</v>
      </c>
      <c r="I87" s="324">
        <v>86</v>
      </c>
      <c r="J87" s="324">
        <v>0</v>
      </c>
      <c r="K87" s="324">
        <v>85</v>
      </c>
      <c r="L87" s="324">
        <v>3804</v>
      </c>
      <c r="M87" s="324">
        <v>1</v>
      </c>
      <c r="N87" s="324">
        <v>11</v>
      </c>
      <c r="O87" s="324">
        <v>36</v>
      </c>
      <c r="P87" s="324">
        <v>0</v>
      </c>
      <c r="Q87" s="324">
        <v>44</v>
      </c>
      <c r="R87" s="324">
        <v>0</v>
      </c>
      <c r="S87" s="324">
        <v>0</v>
      </c>
      <c r="T87" s="324">
        <v>148</v>
      </c>
      <c r="U87" s="324">
        <v>5380300</v>
      </c>
      <c r="V87" s="324">
        <v>60</v>
      </c>
      <c r="W87" s="324">
        <v>34</v>
      </c>
      <c r="X87" s="324">
        <v>125</v>
      </c>
      <c r="Y87" s="324">
        <v>76145000</v>
      </c>
      <c r="Z87" s="324">
        <v>8</v>
      </c>
      <c r="AA87" s="324">
        <v>0</v>
      </c>
      <c r="AB87" s="324">
        <v>5</v>
      </c>
      <c r="AC87" s="324">
        <v>68</v>
      </c>
      <c r="AD87" s="324">
        <v>2919</v>
      </c>
      <c r="AE87" s="324">
        <v>1</v>
      </c>
      <c r="AF87" s="324">
        <v>1</v>
      </c>
      <c r="AG87" s="324">
        <v>9</v>
      </c>
      <c r="AH87" s="324">
        <v>0</v>
      </c>
      <c r="AI87" s="324">
        <v>0</v>
      </c>
      <c r="AJ87" s="324">
        <v>5</v>
      </c>
      <c r="AK87" s="324">
        <v>0</v>
      </c>
    </row>
    <row r="88" spans="1:37" ht="12.75">
      <c r="A88" s="324" t="s">
        <v>363</v>
      </c>
      <c r="B88" s="324">
        <v>29</v>
      </c>
      <c r="C88" s="324">
        <v>1398173</v>
      </c>
      <c r="D88" s="324">
        <v>2</v>
      </c>
      <c r="E88" s="324">
        <v>12</v>
      </c>
      <c r="F88" s="324">
        <v>28</v>
      </c>
      <c r="G88" s="324">
        <v>19655000</v>
      </c>
      <c r="H88" s="324">
        <v>0</v>
      </c>
      <c r="I88" s="324">
        <v>0</v>
      </c>
      <c r="J88" s="324">
        <v>0</v>
      </c>
      <c r="K88" s="324">
        <v>12</v>
      </c>
      <c r="L88" s="324">
        <v>571</v>
      </c>
      <c r="M88" s="324">
        <v>0</v>
      </c>
      <c r="N88" s="324">
        <v>0</v>
      </c>
      <c r="O88" s="324">
        <v>7</v>
      </c>
      <c r="P88" s="324">
        <v>0</v>
      </c>
      <c r="Q88" s="324">
        <v>0</v>
      </c>
      <c r="R88" s="324">
        <v>0</v>
      </c>
      <c r="S88" s="324">
        <v>4</v>
      </c>
      <c r="T88" s="324">
        <v>33</v>
      </c>
      <c r="U88" s="324">
        <v>1690004</v>
      </c>
      <c r="V88" s="324">
        <v>1</v>
      </c>
      <c r="W88" s="324">
        <v>6</v>
      </c>
      <c r="X88" s="324">
        <v>52</v>
      </c>
      <c r="Y88" s="324">
        <v>14920000</v>
      </c>
      <c r="Z88" s="324">
        <v>3</v>
      </c>
      <c r="AA88" s="324">
        <v>0</v>
      </c>
      <c r="AB88" s="324">
        <v>0</v>
      </c>
      <c r="AC88" s="324">
        <v>14</v>
      </c>
      <c r="AD88" s="324">
        <v>641</v>
      </c>
      <c r="AE88" s="324">
        <v>1</v>
      </c>
      <c r="AF88" s="324">
        <v>10</v>
      </c>
      <c r="AG88" s="324">
        <v>11</v>
      </c>
      <c r="AH88" s="324">
        <v>0</v>
      </c>
      <c r="AI88" s="324">
        <v>0</v>
      </c>
      <c r="AJ88" s="324">
        <v>2</v>
      </c>
      <c r="AK88" s="324">
        <v>0</v>
      </c>
    </row>
    <row r="89" spans="1:37" ht="12.75">
      <c r="A89" s="324" t="s">
        <v>364</v>
      </c>
      <c r="B89" s="324">
        <v>72</v>
      </c>
      <c r="C89" s="324">
        <v>6022674</v>
      </c>
      <c r="D89" s="324">
        <v>0</v>
      </c>
      <c r="E89" s="324">
        <v>1</v>
      </c>
      <c r="F89" s="324">
        <v>1</v>
      </c>
      <c r="G89" s="324">
        <v>23275000</v>
      </c>
      <c r="H89" s="324">
        <v>46</v>
      </c>
      <c r="I89" s="324">
        <v>0</v>
      </c>
      <c r="J89" s="324">
        <v>0</v>
      </c>
      <c r="K89" s="324">
        <v>1</v>
      </c>
      <c r="L89" s="324">
        <v>200</v>
      </c>
      <c r="M89" s="324">
        <v>23</v>
      </c>
      <c r="N89" s="324">
        <v>0</v>
      </c>
      <c r="O89" s="324">
        <v>0</v>
      </c>
      <c r="P89" s="324">
        <v>0</v>
      </c>
      <c r="Q89" s="324">
        <v>0</v>
      </c>
      <c r="R89" s="324">
        <v>0</v>
      </c>
      <c r="S89" s="324">
        <v>0</v>
      </c>
      <c r="T89" s="324">
        <v>88</v>
      </c>
      <c r="U89" s="324">
        <v>10317920</v>
      </c>
      <c r="V89" s="324">
        <v>0</v>
      </c>
      <c r="W89" s="324">
        <v>1</v>
      </c>
      <c r="X89" s="324">
        <v>1</v>
      </c>
      <c r="Y89" s="324">
        <v>26375000</v>
      </c>
      <c r="Z89" s="324">
        <v>51</v>
      </c>
      <c r="AA89" s="324">
        <v>0</v>
      </c>
      <c r="AB89" s="324">
        <v>0</v>
      </c>
      <c r="AC89" s="324">
        <v>6</v>
      </c>
      <c r="AD89" s="324">
        <v>285</v>
      </c>
      <c r="AE89" s="324">
        <v>26</v>
      </c>
      <c r="AF89" s="324">
        <v>0</v>
      </c>
      <c r="AG89" s="324">
        <v>0</v>
      </c>
      <c r="AH89" s="324">
        <v>0</v>
      </c>
      <c r="AI89" s="324">
        <v>0</v>
      </c>
      <c r="AJ89" s="324">
        <v>0</v>
      </c>
      <c r="AK89" s="324">
        <v>0</v>
      </c>
    </row>
    <row r="90" spans="1:37" ht="12.75">
      <c r="A90" s="324" t="s">
        <v>365</v>
      </c>
      <c r="B90" s="324">
        <v>48</v>
      </c>
      <c r="C90" s="324">
        <v>2843395</v>
      </c>
      <c r="D90" s="324">
        <v>2</v>
      </c>
      <c r="E90" s="324">
        <v>14</v>
      </c>
      <c r="F90" s="324">
        <v>19</v>
      </c>
      <c r="G90" s="324">
        <v>20020000</v>
      </c>
      <c r="H90" s="324">
        <v>2</v>
      </c>
      <c r="I90" s="324">
        <v>0</v>
      </c>
      <c r="J90" s="324">
        <v>0</v>
      </c>
      <c r="K90" s="324">
        <v>27</v>
      </c>
      <c r="L90" s="324">
        <v>1065</v>
      </c>
      <c r="M90" s="324">
        <v>0</v>
      </c>
      <c r="N90" s="324">
        <v>0</v>
      </c>
      <c r="O90" s="324">
        <v>2</v>
      </c>
      <c r="P90" s="324">
        <v>0</v>
      </c>
      <c r="Q90" s="324">
        <v>0</v>
      </c>
      <c r="R90" s="324">
        <v>0</v>
      </c>
      <c r="S90" s="324">
        <v>0</v>
      </c>
      <c r="T90" s="324">
        <v>44</v>
      </c>
      <c r="U90" s="324">
        <v>2528740</v>
      </c>
      <c r="V90" s="324">
        <v>2</v>
      </c>
      <c r="W90" s="324">
        <v>18</v>
      </c>
      <c r="X90" s="324">
        <v>14</v>
      </c>
      <c r="Y90" s="324">
        <v>33948000</v>
      </c>
      <c r="Z90" s="324">
        <v>5</v>
      </c>
      <c r="AA90" s="324">
        <v>11</v>
      </c>
      <c r="AB90" s="324">
        <v>0</v>
      </c>
      <c r="AC90" s="324">
        <v>5</v>
      </c>
      <c r="AD90" s="324">
        <v>252</v>
      </c>
      <c r="AE90" s="324">
        <v>3</v>
      </c>
      <c r="AF90" s="324">
        <v>0</v>
      </c>
      <c r="AG90" s="324">
        <v>4</v>
      </c>
      <c r="AH90" s="324">
        <v>0</v>
      </c>
      <c r="AI90" s="324">
        <v>0</v>
      </c>
      <c r="AJ90" s="324">
        <v>0</v>
      </c>
      <c r="AK90" s="324">
        <v>0</v>
      </c>
    </row>
    <row r="91" spans="1:37" ht="12.75">
      <c r="A91" s="324" t="s">
        <v>366</v>
      </c>
      <c r="B91" s="324">
        <v>132</v>
      </c>
      <c r="C91" s="324">
        <v>7086895</v>
      </c>
      <c r="D91" s="324">
        <v>46</v>
      </c>
      <c r="E91" s="324">
        <v>31</v>
      </c>
      <c r="F91" s="324">
        <v>74</v>
      </c>
      <c r="G91" s="324">
        <v>48211000</v>
      </c>
      <c r="H91" s="324">
        <v>3</v>
      </c>
      <c r="I91" s="324">
        <v>87</v>
      </c>
      <c r="J91" s="324">
        <v>1</v>
      </c>
      <c r="K91" s="324">
        <v>79</v>
      </c>
      <c r="L91" s="324">
        <v>4402</v>
      </c>
      <c r="M91" s="324">
        <v>1</v>
      </c>
      <c r="N91" s="324">
        <v>0</v>
      </c>
      <c r="O91" s="324">
        <v>7</v>
      </c>
      <c r="P91" s="324">
        <v>0</v>
      </c>
      <c r="Q91" s="324">
        <v>44</v>
      </c>
      <c r="R91" s="324">
        <v>0</v>
      </c>
      <c r="S91" s="324">
        <v>0</v>
      </c>
      <c r="T91" s="324">
        <v>152</v>
      </c>
      <c r="U91" s="324">
        <v>6457200</v>
      </c>
      <c r="V91" s="324">
        <v>51</v>
      </c>
      <c r="W91" s="324">
        <v>37</v>
      </c>
      <c r="X91" s="324">
        <v>120</v>
      </c>
      <c r="Y91" s="324">
        <v>72303000</v>
      </c>
      <c r="Z91" s="324">
        <v>4</v>
      </c>
      <c r="AA91" s="324">
        <v>0</v>
      </c>
      <c r="AB91" s="324">
        <v>5</v>
      </c>
      <c r="AC91" s="324">
        <v>81</v>
      </c>
      <c r="AD91" s="324">
        <v>3513</v>
      </c>
      <c r="AE91" s="324">
        <v>1</v>
      </c>
      <c r="AF91" s="324">
        <v>0</v>
      </c>
      <c r="AG91" s="324">
        <v>11</v>
      </c>
      <c r="AH91" s="324">
        <v>0</v>
      </c>
      <c r="AI91" s="324">
        <v>1</v>
      </c>
      <c r="AJ91" s="324">
        <v>5</v>
      </c>
      <c r="AK91" s="324">
        <v>0</v>
      </c>
    </row>
    <row r="92" spans="1:37" ht="12.75">
      <c r="A92" s="324" t="s">
        <v>367</v>
      </c>
      <c r="B92" s="324">
        <v>368</v>
      </c>
      <c r="C92" s="324">
        <v>15531154</v>
      </c>
      <c r="D92" s="324">
        <v>9</v>
      </c>
      <c r="E92" s="324">
        <v>12</v>
      </c>
      <c r="F92" s="324">
        <v>19</v>
      </c>
      <c r="G92" s="324">
        <v>158356000</v>
      </c>
      <c r="H92" s="324">
        <v>22</v>
      </c>
      <c r="I92" s="324">
        <v>17</v>
      </c>
      <c r="J92" s="324">
        <v>58</v>
      </c>
      <c r="K92" s="324">
        <v>251</v>
      </c>
      <c r="L92" s="324">
        <v>11064</v>
      </c>
      <c r="M92" s="324">
        <v>4</v>
      </c>
      <c r="N92" s="324">
        <v>28</v>
      </c>
      <c r="O92" s="324">
        <v>81</v>
      </c>
      <c r="P92" s="324">
        <v>0</v>
      </c>
      <c r="Q92" s="324">
        <v>8</v>
      </c>
      <c r="R92" s="324">
        <v>9</v>
      </c>
      <c r="S92" s="324">
        <v>20</v>
      </c>
      <c r="T92" s="324">
        <v>349</v>
      </c>
      <c r="U92" s="324">
        <v>16713629</v>
      </c>
      <c r="V92" s="324">
        <v>2</v>
      </c>
      <c r="W92" s="324">
        <v>9</v>
      </c>
      <c r="X92" s="324">
        <v>6</v>
      </c>
      <c r="Y92" s="324">
        <v>185515000</v>
      </c>
      <c r="Z92" s="324">
        <v>19</v>
      </c>
      <c r="AA92" s="324">
        <v>6</v>
      </c>
      <c r="AB92" s="324">
        <v>12</v>
      </c>
      <c r="AC92" s="324">
        <v>210</v>
      </c>
      <c r="AD92" s="324">
        <v>7671</v>
      </c>
      <c r="AE92" s="324">
        <v>5</v>
      </c>
      <c r="AF92" s="324">
        <v>1</v>
      </c>
      <c r="AG92" s="324">
        <v>94</v>
      </c>
      <c r="AH92" s="324">
        <v>0</v>
      </c>
      <c r="AI92" s="324">
        <v>6</v>
      </c>
      <c r="AJ92" s="324">
        <v>53</v>
      </c>
      <c r="AK92" s="324">
        <v>15</v>
      </c>
    </row>
    <row r="93" spans="1:37" ht="12.75">
      <c r="A93" s="324" t="s">
        <v>368</v>
      </c>
      <c r="B93" s="324">
        <v>290</v>
      </c>
      <c r="C93" s="324">
        <v>21083318</v>
      </c>
      <c r="D93" s="324">
        <v>69</v>
      </c>
      <c r="E93" s="324">
        <v>19</v>
      </c>
      <c r="F93" s="324">
        <v>17</v>
      </c>
      <c r="G93" s="324">
        <v>115535000</v>
      </c>
      <c r="H93" s="324">
        <v>20</v>
      </c>
      <c r="I93" s="324">
        <v>9</v>
      </c>
      <c r="J93" s="324">
        <v>4</v>
      </c>
      <c r="K93" s="324">
        <v>215</v>
      </c>
      <c r="L93" s="324">
        <v>10979</v>
      </c>
      <c r="M93" s="324">
        <v>3</v>
      </c>
      <c r="N93" s="324">
        <v>0</v>
      </c>
      <c r="O93" s="324">
        <v>11</v>
      </c>
      <c r="P93" s="324">
        <v>0</v>
      </c>
      <c r="Q93" s="324">
        <v>2</v>
      </c>
      <c r="R93" s="324">
        <v>16</v>
      </c>
      <c r="S93" s="324">
        <v>14</v>
      </c>
      <c r="T93" s="324">
        <v>267</v>
      </c>
      <c r="U93" s="324">
        <v>20413570</v>
      </c>
      <c r="V93" s="324">
        <v>64</v>
      </c>
      <c r="W93" s="324">
        <v>22</v>
      </c>
      <c r="X93" s="324">
        <v>26</v>
      </c>
      <c r="Y93" s="324">
        <v>119594000</v>
      </c>
      <c r="Z93" s="324">
        <v>9</v>
      </c>
      <c r="AA93" s="324">
        <v>13</v>
      </c>
      <c r="AB93" s="324">
        <v>2</v>
      </c>
      <c r="AC93" s="324">
        <v>172</v>
      </c>
      <c r="AD93" s="324">
        <v>10396</v>
      </c>
      <c r="AE93" s="324">
        <v>7</v>
      </c>
      <c r="AF93" s="324">
        <v>2</v>
      </c>
      <c r="AG93" s="324">
        <v>8</v>
      </c>
      <c r="AH93" s="324">
        <v>0</v>
      </c>
      <c r="AI93" s="324">
        <v>3</v>
      </c>
      <c r="AJ93" s="324">
        <v>205</v>
      </c>
      <c r="AK93" s="324">
        <v>30</v>
      </c>
    </row>
    <row r="94" spans="1:37" ht="12.75">
      <c r="A94" s="324" t="s">
        <v>369</v>
      </c>
      <c r="B94" s="324">
        <v>160</v>
      </c>
      <c r="C94" s="324">
        <v>5748054</v>
      </c>
      <c r="D94" s="324">
        <v>18</v>
      </c>
      <c r="E94" s="324">
        <v>45</v>
      </c>
      <c r="F94" s="324">
        <v>340</v>
      </c>
      <c r="G94" s="324">
        <v>126990000</v>
      </c>
      <c r="H94" s="324">
        <v>1</v>
      </c>
      <c r="I94" s="324">
        <v>0</v>
      </c>
      <c r="J94" s="324">
        <v>0</v>
      </c>
      <c r="K94" s="324">
        <v>14</v>
      </c>
      <c r="L94" s="324">
        <v>1565</v>
      </c>
      <c r="M94" s="324">
        <v>0</v>
      </c>
      <c r="N94" s="324">
        <v>0</v>
      </c>
      <c r="O94" s="324">
        <v>0</v>
      </c>
      <c r="P94" s="324">
        <v>0</v>
      </c>
      <c r="Q94" s="324">
        <v>0</v>
      </c>
      <c r="R94" s="324">
        <v>0</v>
      </c>
      <c r="S94" s="324">
        <v>0</v>
      </c>
      <c r="T94" s="324">
        <v>135</v>
      </c>
      <c r="U94" s="324">
        <v>3975005</v>
      </c>
      <c r="V94" s="324">
        <v>19</v>
      </c>
      <c r="W94" s="324">
        <v>45</v>
      </c>
      <c r="X94" s="324">
        <v>282</v>
      </c>
      <c r="Y94" s="324">
        <v>124006000</v>
      </c>
      <c r="Z94" s="324">
        <v>0</v>
      </c>
      <c r="AA94" s="324">
        <v>0</v>
      </c>
      <c r="AB94" s="324">
        <v>0</v>
      </c>
      <c r="AC94" s="324">
        <v>1</v>
      </c>
      <c r="AD94" s="324">
        <v>112</v>
      </c>
      <c r="AE94" s="324">
        <v>0</v>
      </c>
      <c r="AF94" s="324">
        <v>0</v>
      </c>
      <c r="AG94" s="324">
        <v>0</v>
      </c>
      <c r="AH94" s="324">
        <v>0</v>
      </c>
      <c r="AI94" s="324">
        <v>0</v>
      </c>
      <c r="AJ94" s="324">
        <v>0</v>
      </c>
      <c r="AK94" s="324">
        <v>0</v>
      </c>
    </row>
    <row r="95" spans="1:37" ht="12.75">
      <c r="A95" s="324" t="s">
        <v>370</v>
      </c>
      <c r="B95" s="324">
        <v>39</v>
      </c>
      <c r="C95" s="324">
        <v>1196500</v>
      </c>
      <c r="D95" s="324">
        <v>3</v>
      </c>
      <c r="E95" s="324">
        <v>1</v>
      </c>
      <c r="F95" s="324">
        <v>0</v>
      </c>
      <c r="G95" s="324">
        <v>3585000</v>
      </c>
      <c r="H95" s="324">
        <v>0</v>
      </c>
      <c r="I95" s="324">
        <v>0</v>
      </c>
      <c r="J95" s="324">
        <v>0</v>
      </c>
      <c r="K95" s="324">
        <v>34</v>
      </c>
      <c r="L95" s="324">
        <v>581</v>
      </c>
      <c r="M95" s="324">
        <v>0</v>
      </c>
      <c r="N95" s="324">
        <v>0</v>
      </c>
      <c r="O95" s="324">
        <v>0</v>
      </c>
      <c r="P95" s="324">
        <v>0</v>
      </c>
      <c r="Q95" s="324">
        <v>0</v>
      </c>
      <c r="R95" s="324">
        <v>0</v>
      </c>
      <c r="S95" s="324">
        <v>0</v>
      </c>
      <c r="T95" s="324">
        <v>39</v>
      </c>
      <c r="U95" s="324">
        <v>1928000</v>
      </c>
      <c r="V95" s="324">
        <v>3</v>
      </c>
      <c r="W95" s="324">
        <v>2</v>
      </c>
      <c r="X95" s="324">
        <v>2</v>
      </c>
      <c r="Y95" s="324">
        <v>3685000</v>
      </c>
      <c r="Z95" s="324">
        <v>3</v>
      </c>
      <c r="AA95" s="324">
        <v>0</v>
      </c>
      <c r="AB95" s="324">
        <v>0</v>
      </c>
      <c r="AC95" s="324">
        <v>28</v>
      </c>
      <c r="AD95" s="324">
        <v>570</v>
      </c>
      <c r="AE95" s="324">
        <v>0</v>
      </c>
      <c r="AF95" s="324">
        <v>0</v>
      </c>
      <c r="AG95" s="324">
        <v>0</v>
      </c>
      <c r="AH95" s="324">
        <v>0</v>
      </c>
      <c r="AI95" s="324">
        <v>0</v>
      </c>
      <c r="AJ95" s="324">
        <v>0</v>
      </c>
      <c r="AK95" s="324">
        <v>0</v>
      </c>
    </row>
    <row r="96" spans="1:37" ht="12.75">
      <c r="A96" s="324" t="s">
        <v>371</v>
      </c>
      <c r="B96" s="324">
        <v>25</v>
      </c>
      <c r="C96" s="324">
        <v>1195374</v>
      </c>
      <c r="D96" s="324">
        <v>0</v>
      </c>
      <c r="E96" s="324">
        <v>15</v>
      </c>
      <c r="F96" s="324">
        <v>18</v>
      </c>
      <c r="G96" s="324">
        <v>6100000</v>
      </c>
      <c r="H96" s="324">
        <v>1</v>
      </c>
      <c r="I96" s="324">
        <v>0</v>
      </c>
      <c r="J96" s="324">
        <v>0</v>
      </c>
      <c r="K96" s="324">
        <v>17</v>
      </c>
      <c r="L96" s="324">
        <v>663</v>
      </c>
      <c r="M96" s="324">
        <v>0</v>
      </c>
      <c r="N96" s="324">
        <v>0</v>
      </c>
      <c r="O96" s="324">
        <v>1</v>
      </c>
      <c r="P96" s="324">
        <v>0</v>
      </c>
      <c r="Q96" s="324">
        <v>0</v>
      </c>
      <c r="R96" s="324">
        <v>0</v>
      </c>
      <c r="S96" s="324">
        <v>0</v>
      </c>
      <c r="T96" s="324">
        <v>26</v>
      </c>
      <c r="U96" s="324">
        <v>1042800</v>
      </c>
      <c r="V96" s="324">
        <v>2</v>
      </c>
      <c r="W96" s="324">
        <v>22</v>
      </c>
      <c r="X96" s="324">
        <v>13</v>
      </c>
      <c r="Y96" s="324">
        <v>16751000</v>
      </c>
      <c r="Z96" s="324">
        <v>1</v>
      </c>
      <c r="AA96" s="324">
        <v>11</v>
      </c>
      <c r="AB96" s="324">
        <v>0</v>
      </c>
      <c r="AC96" s="324">
        <v>9</v>
      </c>
      <c r="AD96" s="324">
        <v>337</v>
      </c>
      <c r="AE96" s="324">
        <v>1</v>
      </c>
      <c r="AF96" s="324">
        <v>0</v>
      </c>
      <c r="AG96" s="324">
        <v>0</v>
      </c>
      <c r="AH96" s="324">
        <v>0</v>
      </c>
      <c r="AI96" s="324">
        <v>0</v>
      </c>
      <c r="AJ96" s="324">
        <v>0</v>
      </c>
      <c r="AK96" s="324">
        <v>0</v>
      </c>
    </row>
    <row r="97" spans="1:19" ht="12.75">
      <c r="A97" s="324" t="s">
        <v>372</v>
      </c>
      <c r="B97" s="324">
        <v>1</v>
      </c>
      <c r="C97" s="324">
        <v>50700</v>
      </c>
      <c r="D97" s="324">
        <v>0</v>
      </c>
      <c r="E97" s="324">
        <v>0</v>
      </c>
      <c r="F97" s="324">
        <v>0</v>
      </c>
      <c r="G97" s="324">
        <v>250000</v>
      </c>
      <c r="H97" s="324">
        <v>0</v>
      </c>
      <c r="I97" s="324">
        <v>0</v>
      </c>
      <c r="J97" s="324">
        <v>0</v>
      </c>
      <c r="K97" s="324">
        <v>0</v>
      </c>
      <c r="L97" s="324">
        <v>0</v>
      </c>
      <c r="M97" s="324">
        <v>0</v>
      </c>
      <c r="N97" s="324">
        <v>0</v>
      </c>
      <c r="O97" s="324">
        <v>0</v>
      </c>
      <c r="P97" s="324">
        <v>0</v>
      </c>
      <c r="Q97" s="324">
        <v>0</v>
      </c>
      <c r="R97" s="324">
        <v>0</v>
      </c>
      <c r="S97" s="324">
        <v>0</v>
      </c>
    </row>
    <row r="98" spans="1:37" ht="12.75">
      <c r="A98" s="324" t="s">
        <v>352</v>
      </c>
      <c r="B98" s="324">
        <v>1</v>
      </c>
      <c r="C98" s="324">
        <v>7000</v>
      </c>
      <c r="D98" s="324">
        <v>0</v>
      </c>
      <c r="E98" s="324">
        <v>0</v>
      </c>
      <c r="F98" s="324">
        <v>0</v>
      </c>
      <c r="G98" s="324">
        <v>1000000</v>
      </c>
      <c r="H98" s="324">
        <v>0</v>
      </c>
      <c r="I98" s="324">
        <v>0</v>
      </c>
      <c r="J98" s="324">
        <v>0</v>
      </c>
      <c r="K98" s="324">
        <v>0</v>
      </c>
      <c r="L98" s="324">
        <v>0</v>
      </c>
      <c r="M98" s="324">
        <v>0</v>
      </c>
      <c r="N98" s="324">
        <v>0</v>
      </c>
      <c r="O98" s="324">
        <v>0</v>
      </c>
      <c r="P98" s="324">
        <v>0</v>
      </c>
      <c r="Q98" s="324">
        <v>0</v>
      </c>
      <c r="R98" s="324">
        <v>0</v>
      </c>
      <c r="S98" s="324">
        <v>0</v>
      </c>
      <c r="T98" s="324">
        <v>1</v>
      </c>
      <c r="U98" s="324">
        <v>0</v>
      </c>
      <c r="V98" s="324">
        <v>0</v>
      </c>
      <c r="W98" s="324">
        <v>0</v>
      </c>
      <c r="X98" s="324">
        <v>0</v>
      </c>
      <c r="Y98" s="324">
        <v>3000000</v>
      </c>
      <c r="Z98" s="324">
        <v>0</v>
      </c>
      <c r="AA98" s="324">
        <v>0</v>
      </c>
      <c r="AB98" s="324">
        <v>0</v>
      </c>
      <c r="AC98" s="324">
        <v>0</v>
      </c>
      <c r="AD98" s="324">
        <v>0</v>
      </c>
      <c r="AE98" s="324">
        <v>0</v>
      </c>
      <c r="AF98" s="324">
        <v>0</v>
      </c>
      <c r="AG98" s="324">
        <v>0</v>
      </c>
      <c r="AH98" s="324">
        <v>0</v>
      </c>
      <c r="AI98" s="324">
        <v>0</v>
      </c>
      <c r="AJ98" s="324">
        <v>0</v>
      </c>
      <c r="AK98" s="324">
        <v>0</v>
      </c>
    </row>
    <row r="99" spans="1:37" ht="12.75">
      <c r="A99" s="324" t="s">
        <v>373</v>
      </c>
      <c r="B99" s="324">
        <v>33</v>
      </c>
      <c r="C99" s="324">
        <v>1050500</v>
      </c>
      <c r="D99" s="324">
        <v>3</v>
      </c>
      <c r="E99" s="324">
        <v>1</v>
      </c>
      <c r="F99" s="324">
        <v>0</v>
      </c>
      <c r="G99" s="324">
        <v>2220000</v>
      </c>
      <c r="H99" s="324">
        <v>0</v>
      </c>
      <c r="I99" s="324">
        <v>0</v>
      </c>
      <c r="J99" s="324">
        <v>0</v>
      </c>
      <c r="K99" s="324">
        <v>31</v>
      </c>
      <c r="L99" s="324">
        <v>536</v>
      </c>
      <c r="M99" s="324">
        <v>0</v>
      </c>
      <c r="N99" s="324">
        <v>0</v>
      </c>
      <c r="O99" s="324">
        <v>0</v>
      </c>
      <c r="P99" s="324">
        <v>0</v>
      </c>
      <c r="Q99" s="324">
        <v>0</v>
      </c>
      <c r="R99" s="324">
        <v>0</v>
      </c>
      <c r="S99" s="324">
        <v>0</v>
      </c>
      <c r="T99" s="324">
        <v>33</v>
      </c>
      <c r="U99" s="324">
        <v>1751000</v>
      </c>
      <c r="V99" s="324">
        <v>3</v>
      </c>
      <c r="W99" s="324">
        <v>2</v>
      </c>
      <c r="X99" s="324">
        <v>2</v>
      </c>
      <c r="Y99" s="324">
        <v>5580000</v>
      </c>
      <c r="Z99" s="324">
        <v>1</v>
      </c>
      <c r="AA99" s="324">
        <v>0</v>
      </c>
      <c r="AB99" s="324">
        <v>0</v>
      </c>
      <c r="AC99" s="324">
        <v>27</v>
      </c>
      <c r="AD99" s="324">
        <v>771</v>
      </c>
      <c r="AE99" s="324">
        <v>0</v>
      </c>
      <c r="AF99" s="324">
        <v>0</v>
      </c>
      <c r="AG99" s="324">
        <v>0</v>
      </c>
      <c r="AH99" s="324">
        <v>0</v>
      </c>
      <c r="AI99" s="324">
        <v>0</v>
      </c>
      <c r="AJ99" s="324">
        <v>0</v>
      </c>
      <c r="AK99" s="324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workbookViewId="0" topLeftCell="A25">
      <selection activeCell="D43" sqref="D43"/>
    </sheetView>
  </sheetViews>
  <sheetFormatPr defaultColWidth="9.140625" defaultRowHeight="12.75"/>
  <cols>
    <col min="1" max="2" width="8.7109375" style="324" customWidth="1"/>
    <col min="3" max="3" width="32.28125" style="324" customWidth="1"/>
    <col min="4" max="4" width="20.57421875" style="324" customWidth="1"/>
    <col min="5" max="5" width="15.8515625" style="324" customWidth="1"/>
    <col min="6" max="6" width="13.8515625" style="324" customWidth="1"/>
    <col min="7" max="16384" width="8.7109375" style="324" customWidth="1"/>
  </cols>
  <sheetData>
    <row r="1" spans="2:5" ht="18.75">
      <c r="B1" s="452" t="s">
        <v>374</v>
      </c>
      <c r="D1" s="440"/>
      <c r="E1" s="453"/>
    </row>
    <row r="2" spans="1:6" ht="15" customHeight="1">
      <c r="A2" s="454"/>
      <c r="B2" s="455" t="s">
        <v>375</v>
      </c>
      <c r="C2" s="454"/>
      <c r="D2" s="455" t="s">
        <v>376</v>
      </c>
      <c r="E2" s="456" t="s">
        <v>377</v>
      </c>
      <c r="F2" s="457"/>
    </row>
    <row r="3" spans="1:6" ht="15" customHeight="1">
      <c r="A3" s="454"/>
      <c r="B3" s="454" t="s">
        <v>378</v>
      </c>
      <c r="C3" s="454"/>
      <c r="D3" s="455" t="s">
        <v>379</v>
      </c>
      <c r="E3" s="455" t="s">
        <v>380</v>
      </c>
      <c r="F3" s="457"/>
    </row>
    <row r="4" spans="1:6" ht="15" customHeight="1">
      <c r="A4" s="454"/>
      <c r="B4" s="455" t="s">
        <v>381</v>
      </c>
      <c r="C4" s="454"/>
      <c r="D4" s="455" t="s">
        <v>382</v>
      </c>
      <c r="E4" s="455" t="s">
        <v>383</v>
      </c>
      <c r="F4" s="457"/>
    </row>
    <row r="5" spans="1:6" ht="15" customHeight="1">
      <c r="A5" s="454"/>
      <c r="B5" s="454" t="s">
        <v>384</v>
      </c>
      <c r="C5" s="454"/>
      <c r="D5" s="455" t="s">
        <v>385</v>
      </c>
      <c r="E5" s="455" t="s">
        <v>386</v>
      </c>
      <c r="F5" s="457"/>
    </row>
    <row r="6" spans="1:6" ht="15" customHeight="1">
      <c r="A6" s="454"/>
      <c r="B6" s="455" t="s">
        <v>387</v>
      </c>
      <c r="C6" s="454"/>
      <c r="D6" s="455" t="s">
        <v>388</v>
      </c>
      <c r="E6" s="455" t="s">
        <v>389</v>
      </c>
      <c r="F6" s="457"/>
    </row>
    <row r="7" spans="1:6" ht="15" customHeight="1">
      <c r="A7" s="454"/>
      <c r="B7" s="454" t="s">
        <v>390</v>
      </c>
      <c r="C7" s="454"/>
      <c r="D7" s="455" t="s">
        <v>391</v>
      </c>
      <c r="E7" s="455" t="s">
        <v>392</v>
      </c>
      <c r="F7" s="457"/>
    </row>
    <row r="8" spans="1:6" ht="15" customHeight="1">
      <c r="A8" s="454"/>
      <c r="B8" s="455" t="s">
        <v>393</v>
      </c>
      <c r="C8" s="454"/>
      <c r="D8" s="455" t="s">
        <v>394</v>
      </c>
      <c r="E8" s="454" t="s">
        <v>395</v>
      </c>
      <c r="F8" s="457"/>
    </row>
    <row r="9" spans="1:6" ht="15" customHeight="1">
      <c r="A9" s="454"/>
      <c r="B9" s="454" t="s">
        <v>396</v>
      </c>
      <c r="C9" s="454"/>
      <c r="D9" s="455" t="s">
        <v>397</v>
      </c>
      <c r="E9" s="454" t="s">
        <v>398</v>
      </c>
      <c r="F9" s="457"/>
    </row>
    <row r="10" spans="1:6" ht="15" customHeight="1">
      <c r="A10" s="454"/>
      <c r="B10" s="454" t="s">
        <v>399</v>
      </c>
      <c r="C10" s="454"/>
      <c r="D10" s="455" t="s">
        <v>400</v>
      </c>
      <c r="E10" s="458" t="s">
        <v>401</v>
      </c>
      <c r="F10" s="457"/>
    </row>
    <row r="11" spans="1:6" ht="15" customHeight="1">
      <c r="A11" s="455"/>
      <c r="B11" s="455" t="s">
        <v>402</v>
      </c>
      <c r="C11" s="454"/>
      <c r="D11" s="455" t="s">
        <v>403</v>
      </c>
      <c r="E11" s="456" t="s">
        <v>404</v>
      </c>
      <c r="F11" s="457"/>
    </row>
    <row r="12" spans="1:6" ht="15" customHeight="1">
      <c r="A12" s="454"/>
      <c r="B12" s="454" t="s">
        <v>405</v>
      </c>
      <c r="C12" s="454"/>
      <c r="D12" s="455" t="s">
        <v>406</v>
      </c>
      <c r="E12" s="459" t="s">
        <v>407</v>
      </c>
      <c r="F12" s="457"/>
    </row>
    <row r="13" spans="1:6" ht="15" customHeight="1">
      <c r="A13" s="454"/>
      <c r="B13" s="455" t="s">
        <v>408</v>
      </c>
      <c r="C13" s="454"/>
      <c r="D13" s="455" t="s">
        <v>409</v>
      </c>
      <c r="E13" s="456" t="s">
        <v>410</v>
      </c>
      <c r="F13" s="457"/>
    </row>
    <row r="14" spans="1:6" ht="15" customHeight="1">
      <c r="A14" s="454"/>
      <c r="B14" s="455" t="s">
        <v>411</v>
      </c>
      <c r="C14" s="454"/>
      <c r="D14" s="455" t="s">
        <v>412</v>
      </c>
      <c r="E14" s="456" t="s">
        <v>413</v>
      </c>
      <c r="F14" s="457"/>
    </row>
    <row r="15" spans="2:6" ht="0.75" customHeight="1">
      <c r="B15" s="460"/>
      <c r="D15" s="460"/>
      <c r="E15" s="461"/>
      <c r="F15" s="462"/>
    </row>
    <row r="16" spans="2:6" ht="0.75" customHeight="1">
      <c r="B16" s="460"/>
      <c r="D16" s="460"/>
      <c r="E16" s="461"/>
      <c r="F16" s="462"/>
    </row>
    <row r="17" spans="2:6" ht="0.75" customHeight="1">
      <c r="B17" s="462"/>
      <c r="E17" s="462"/>
      <c r="F17" s="462"/>
    </row>
    <row r="18" spans="1:6" ht="16.5">
      <c r="A18" s="605" t="s">
        <v>414</v>
      </c>
      <c r="B18" s="605"/>
      <c r="C18" s="605"/>
      <c r="D18" s="605"/>
      <c r="E18" s="605"/>
      <c r="F18" s="605"/>
    </row>
    <row r="19" spans="1:6" ht="16.5">
      <c r="A19" s="605" t="s">
        <v>415</v>
      </c>
      <c r="B19" s="605"/>
      <c r="C19" s="605"/>
      <c r="D19" s="605"/>
      <c r="E19" s="605"/>
      <c r="F19" s="605"/>
    </row>
    <row r="20" spans="1:6" ht="16.5">
      <c r="A20" s="605" t="s">
        <v>416</v>
      </c>
      <c r="B20" s="605"/>
      <c r="C20" s="605"/>
      <c r="D20" s="605"/>
      <c r="E20" s="605"/>
      <c r="F20" s="605"/>
    </row>
    <row r="21" spans="1:6" ht="16.5">
      <c r="A21" s="605"/>
      <c r="B21" s="605"/>
      <c r="C21" s="605"/>
      <c r="D21" s="605"/>
      <c r="E21" s="605"/>
      <c r="F21" s="605"/>
    </row>
    <row r="22" spans="1:6" ht="12.75">
      <c r="A22" s="463"/>
      <c r="B22" s="463"/>
      <c r="C22" s="463"/>
      <c r="D22" s="463"/>
      <c r="E22" s="463"/>
      <c r="F22" s="463"/>
    </row>
    <row r="23" spans="1:6" ht="15" customHeight="1">
      <c r="A23" s="606" t="s">
        <v>417</v>
      </c>
      <c r="B23" s="606"/>
      <c r="C23" s="606"/>
      <c r="D23" s="606"/>
      <c r="E23" s="606"/>
      <c r="F23" s="606"/>
    </row>
    <row r="24" spans="1:6" ht="15" customHeight="1">
      <c r="A24" s="606" t="s">
        <v>418</v>
      </c>
      <c r="B24" s="606"/>
      <c r="C24" s="606"/>
      <c r="D24" s="606"/>
      <c r="E24" s="606"/>
      <c r="F24" s="606"/>
    </row>
    <row r="25" spans="1:6" ht="15" customHeight="1">
      <c r="A25" s="606" t="s">
        <v>419</v>
      </c>
      <c r="B25" s="606"/>
      <c r="C25" s="606"/>
      <c r="D25" s="606"/>
      <c r="E25" s="606"/>
      <c r="F25" s="606"/>
    </row>
    <row r="26" spans="1:6" ht="15" customHeight="1">
      <c r="A26" s="606" t="s">
        <v>420</v>
      </c>
      <c r="B26" s="606"/>
      <c r="C26" s="606"/>
      <c r="D26" s="606"/>
      <c r="E26" s="606"/>
      <c r="F26" s="606"/>
    </row>
    <row r="27" ht="8.25" customHeight="1"/>
    <row r="28" spans="1:6" ht="18" customHeight="1">
      <c r="A28" s="607" t="s">
        <v>421</v>
      </c>
      <c r="B28" s="607"/>
      <c r="C28" s="607"/>
      <c r="D28" s="464">
        <v>2011</v>
      </c>
      <c r="E28" s="465">
        <v>2010</v>
      </c>
      <c r="F28" s="465" t="s">
        <v>422</v>
      </c>
    </row>
    <row r="29" spans="1:6" ht="18" customHeight="1">
      <c r="A29" s="608" t="s">
        <v>3</v>
      </c>
      <c r="B29" s="608"/>
      <c r="C29" s="608"/>
      <c r="D29" s="466">
        <f>Grig1!B58</f>
        <v>1037</v>
      </c>
      <c r="E29" s="467">
        <f>Grig1!C58</f>
        <v>1087</v>
      </c>
      <c r="F29" s="468" t="str">
        <f>IF(OR(D29=0,E29=0),"--",CONCATENATE(IF(D29&lt;E29,"– ",IF(D29&gt;E29,"+ ","")),IF((D29/E29&gt;=2),CONCATENATE(TEXT(D29/E29,"0,0"),"р"),IF((E29/D29&gt;=2),CONCATENATE(TEXT(E29/D29,"0,0"),"р"),CONCATENATE(TEXT(ABS((D29-E29)/E29*100),"0,0"),"%")))))</f>
        <v>– 4,6%</v>
      </c>
    </row>
    <row r="30" spans="1:6" ht="18" customHeight="1">
      <c r="A30" s="608" t="s">
        <v>423</v>
      </c>
      <c r="B30" s="608"/>
      <c r="C30" s="608"/>
      <c r="D30" s="466">
        <f>Grig1!E58</f>
        <v>75244277</v>
      </c>
      <c r="E30" s="469">
        <f>Grig1!F58</f>
        <v>63029867</v>
      </c>
      <c r="F30" s="468" t="str">
        <f>IF(OR(D30=0,E30=0),"--",CONCATENATE(IF(D30&lt;E30,"– ",IF(D30&gt;E30,"+ ","")),IF((D30/E30&gt;=2),CONCATENATE(TEXT(D30/E30,"0,0"),"р"),IF((E30/D30&gt;=2),CONCATENATE(TEXT(E30/D30,"0,0"),"р"),CONCATENATE(TEXT(ABS((D30-E30)/E30*100),"0,0"),"%")))))</f>
        <v>+ 19,4%</v>
      </c>
    </row>
    <row r="31" spans="1:6" ht="18" customHeight="1">
      <c r="A31" s="608" t="s">
        <v>424</v>
      </c>
      <c r="B31" s="608"/>
      <c r="C31" s="608"/>
      <c r="D31" s="466">
        <f>Grig1!H58</f>
        <v>92</v>
      </c>
      <c r="E31" s="467">
        <f>Grig1!I58</f>
        <v>102</v>
      </c>
      <c r="F31" s="468" t="str">
        <f>IF(OR(D31=0,E31=0),"--",CONCATENATE(IF(D31&lt;E31,"– ",IF(D31&gt;E31,"+ ","")),IF((D31/E31&gt;=2),CONCATENATE(TEXT(D31/E31,"0,0"),"р"),IF((E31/D31&gt;=2),CONCATENATE(TEXT(E31/D31,"0,0"),"р"),CONCATENATE(TEXT(ABS((D31-E31)/E31*100),"0,0"),"%")))))</f>
        <v>– 9,8%</v>
      </c>
    </row>
    <row r="32" spans="1:6" ht="18" customHeight="1">
      <c r="A32" s="608" t="s">
        <v>425</v>
      </c>
      <c r="B32" s="608"/>
      <c r="C32" s="608"/>
      <c r="D32" s="466">
        <v>2</v>
      </c>
      <c r="E32" s="467">
        <v>7</v>
      </c>
      <c r="F32" s="468" t="str">
        <f>IF(OR(D32=0,E32=0),"--",CONCATENATE(IF(D32&lt;E32,"– ",IF(D32&gt;E32,"+ ","")),IF((D32/E32&gt;=2),CONCATENATE(TEXT(D32/E32,"0,0"),"р"),IF((E32/D32&gt;=2),CONCATENATE(TEXT(E32/D32,"0,0"),"р"),CONCATENATE(TEXT(ABS((D32-E32)/E32*100),"0,0"),"%")))))</f>
        <v>– 3,5р</v>
      </c>
    </row>
    <row r="33" spans="1:6" ht="18" customHeight="1">
      <c r="A33" s="608" t="s">
        <v>426</v>
      </c>
      <c r="B33" s="608"/>
      <c r="C33" s="608"/>
      <c r="D33" s="466">
        <f>Grig1!K58</f>
        <v>112</v>
      </c>
      <c r="E33" s="467">
        <f>Grig1!L58</f>
        <v>96</v>
      </c>
      <c r="F33" s="468" t="str">
        <f>IF(OR(D33=0,E33=0),"--",CONCATENATE(IF(D33&lt;E33,"– ",IF(D33&gt;E33,"+ ","")),IF((D33/E33&gt;=2),CONCATENATE(TEXT(D33/E33,"0,0"),"р"),IF((E33/D33&gt;=2),CONCATENATE(TEXT(E33/D33,"0,0"),"р"),CONCATENATE(TEXT(ABS((D33-E33)/E33*100),"0,0"),"%")))))</f>
        <v>+ 16,7%</v>
      </c>
    </row>
    <row r="34" spans="1:6" ht="18" customHeight="1">
      <c r="A34" s="609" t="s">
        <v>427</v>
      </c>
      <c r="B34" s="609"/>
      <c r="C34" s="609"/>
      <c r="D34" s="609"/>
      <c r="E34" s="609"/>
      <c r="F34" s="609"/>
    </row>
    <row r="35" spans="1:6" ht="18" customHeight="1">
      <c r="A35" s="608" t="s">
        <v>428</v>
      </c>
      <c r="B35" s="608"/>
      <c r="C35" s="608"/>
      <c r="D35" s="466">
        <f>Posled1!H34</f>
        <v>444</v>
      </c>
      <c r="E35" s="467">
        <f>Posled1!I34</f>
        <v>533</v>
      </c>
      <c r="F35" s="468" t="str">
        <f>IF(OR(D35=0,E35=0),"--",CONCATENATE(IF(D35&lt;E35,"– ",IF(D35&gt;E35,"+ ","")),IF((D35/E35&gt;=2),CONCATENATE(TEXT(D35/E35,"0,0"),"р"),IF((E35/D35&gt;=2),CONCATENATE(TEXT(E35/D35,"0,0"),"р"),CONCATENATE(TEXT(ABS((D35-E35)/E35*100),"0,0"),"%")))))</f>
        <v>– 16,7%</v>
      </c>
    </row>
    <row r="36" spans="1:6" ht="18" customHeight="1">
      <c r="A36" s="608" t="s">
        <v>429</v>
      </c>
      <c r="B36" s="608"/>
      <c r="C36" s="608"/>
      <c r="D36" s="466">
        <f>Posled1!B66</f>
        <v>10</v>
      </c>
      <c r="E36" s="467">
        <f>Posled1!C66</f>
        <v>54</v>
      </c>
      <c r="F36" s="468" t="str">
        <f>IF(OR(D36=0,E36=0),"--",CONCATENATE(IF(D36&lt;E36,"– ",IF(D36&gt;E36,"+ ","")),IF((D36/E36&gt;=2),CONCATENATE(TEXT(D36/E36,"0,0"),"р"),IF((E36/D36&gt;=2),CONCATENATE(TEXT(E36/D36,"0,0"),"р"),CONCATENATE(TEXT(ABS((D36-E36)/E36*100),"0,0"),"%")))))</f>
        <v>– 5,4р</v>
      </c>
    </row>
    <row r="37" spans="1:6" ht="18" customHeight="1">
      <c r="A37" s="608" t="s">
        <v>430</v>
      </c>
      <c r="B37" s="608"/>
      <c r="C37" s="608"/>
      <c r="D37" s="466">
        <f>Posled1!K34</f>
        <v>53</v>
      </c>
      <c r="E37" s="467">
        <f>Posled1!L34</f>
        <v>39</v>
      </c>
      <c r="F37" s="468" t="str">
        <f>IF(OR(D37=0,E37=0),"--",CONCATENATE(IF(D37&lt;E37,"– ",IF(D37&gt;E37,"+ ","")),IF((D37/E37&gt;=2),CONCATENATE(TEXT(D37/E37,"0,0"),"р"),IF((E37/D37&gt;=2),CONCATENATE(TEXT(E37/D37,"0,0"),"р"),CONCATENATE(TEXT(ABS((D37-E37)/E37*100),"0,0"),"%")))))</f>
        <v>+ 35,9%</v>
      </c>
    </row>
    <row r="38" spans="1:6" ht="18" customHeight="1">
      <c r="A38" s="608" t="s">
        <v>431</v>
      </c>
      <c r="B38" s="608"/>
      <c r="C38" s="608"/>
      <c r="D38" s="466">
        <f>Posled2!H34</f>
        <v>156</v>
      </c>
      <c r="E38" s="467">
        <f>Posled2!I34</f>
        <v>174</v>
      </c>
      <c r="F38" s="468" t="str">
        <f>IF(OR(D38=0,E38=0),"--",CONCATENATE(IF(D38&lt;E38,"– ",IF(D38&gt;E38,"+ ","")),IF((D38/E38&gt;=2),CONCATENATE(TEXT(D38/E38,"0,0"),"р"),IF((E38/D38&gt;=2),CONCATENATE(TEXT(E38/D38,"0,0"),"р"),CONCATENATE(TEXT(ABS((D38-E38)/E38*100),"0,0"),"%")))))</f>
        <v>– 10,3%</v>
      </c>
    </row>
    <row r="39" spans="1:6" ht="18" customHeight="1">
      <c r="A39" s="609" t="s">
        <v>432</v>
      </c>
      <c r="B39" s="609"/>
      <c r="C39" s="609"/>
      <c r="D39" s="609"/>
      <c r="E39" s="609"/>
      <c r="F39" s="609"/>
    </row>
    <row r="40" spans="1:6" ht="16.5" customHeight="1">
      <c r="A40" s="610" t="s">
        <v>433</v>
      </c>
      <c r="B40" s="610"/>
      <c r="C40" s="610"/>
      <c r="D40" s="470">
        <f>'На 10 тыс'!H30</f>
        <v>8.315878275429586</v>
      </c>
      <c r="E40" s="471">
        <f>'На 10 тыс'!I30</f>
        <v>8.716836726511053</v>
      </c>
      <c r="F40" s="468" t="str">
        <f>IF(OR(D40=0,E40=0),"--",CONCATENATE(IF(D40&lt;E40,"– ",IF(D40&gt;E40,"+ ","")),IF((D40/E40&gt;=2),CONCATENATE(TEXT(D40/E40,"0,0"),"р"),IF((E40/D40&gt;=2),CONCATENATE(TEXT(E40/D40,"0,0"),"р"),CONCATENATE(TEXT(ABS((D40-E40)/E40*100),"0,0"),"%")))))</f>
        <v>– 4,6%</v>
      </c>
    </row>
    <row r="41" spans="1:6" ht="16.5" customHeight="1">
      <c r="A41" s="610" t="s">
        <v>434</v>
      </c>
      <c r="B41" s="610"/>
      <c r="C41" s="610"/>
      <c r="D41" s="470">
        <f>'На 10 тыс'!N30</f>
        <v>60.33965751732942</v>
      </c>
      <c r="E41" s="471">
        <f>'На 10 тыс'!O30</f>
        <v>50.54471568838151</v>
      </c>
      <c r="F41" s="468" t="str">
        <f>IF(OR(D41=0,E41=0),"--",CONCATENATE(IF(D41&lt;E41,"– ",IF(D41&gt;E41,"+ ","")),IF((D41/E41&gt;=2),CONCATENATE(TEXT(D41/E41,"0,0"),"р"),IF((E41/D41&gt;=2),CONCATENATE(TEXT(E41/D41,"0,0"),"р"),CONCATENATE(TEXT(ABS((D41-E41)/E41*100),"0,0"),"%")))))</f>
        <v>+ 19,4%</v>
      </c>
    </row>
    <row r="42" spans="1:6" ht="16.5" customHeight="1">
      <c r="A42" s="610" t="s">
        <v>435</v>
      </c>
      <c r="B42" s="610"/>
      <c r="C42" s="610"/>
      <c r="D42" s="470">
        <f>'На 10 тыс'!K30</f>
        <v>72559.57280617165</v>
      </c>
      <c r="E42" s="471">
        <f>'На 10 тыс'!L30</f>
        <v>57985.158233670656</v>
      </c>
      <c r="F42" s="468" t="str">
        <f>IF(OR(D42=0,E42=0),"--",CONCATENATE(IF(D42&lt;E42,"– ",IF(D42&gt;E42,"+ ","")),IF((D42/E42&gt;=2),CONCATENATE(TEXT(D42/E42,"0,0"),"р"),IF((E42/D42&gt;=2),CONCATENATE(TEXT(E42/D42,"0,0"),"р"),CONCATENATE(TEXT(ABS((D42-E42)/E42*100),"0,0"),"%")))))</f>
        <v>+ 25,1%</v>
      </c>
    </row>
    <row r="43" spans="1:6" ht="16.5" customHeight="1">
      <c r="A43" s="610" t="s">
        <v>436</v>
      </c>
      <c r="B43" s="610"/>
      <c r="C43" s="610"/>
      <c r="D43" s="470">
        <f>Grig1!H58/1292200*10000</f>
        <v>0.7119640922457824</v>
      </c>
      <c r="E43" s="472">
        <f>Grig1!I58/1292200*10000</f>
        <v>0.7893514935768458</v>
      </c>
      <c r="F43" s="468" t="str">
        <f>IF(OR(D43=0,E43=0),"--",CONCATENATE(IF(D43&lt;E43,"– ",IF(D43&gt;E43,"+ ","")),IF((D43/E43&gt;=2),CONCATENATE(TEXT(D43/E43,"0,0"),"р"),IF((E43/D43&gt;=2),CONCATENATE(TEXT(E43/D43,"0,0"),"р"),CONCATENATE(TEXT(ABS((D43-E43)/E43*100),"0,0"),"%")))))</f>
        <v>– 9,8%</v>
      </c>
    </row>
    <row r="44" spans="1:6" ht="16.5">
      <c r="A44" s="454" t="s">
        <v>437</v>
      </c>
      <c r="B44" s="454"/>
      <c r="C44" s="454"/>
      <c r="D44" s="454"/>
      <c r="E44" s="454"/>
      <c r="F44" s="454"/>
    </row>
    <row r="45" spans="1:6" ht="15" customHeight="1">
      <c r="A45" s="454"/>
      <c r="B45" s="454"/>
      <c r="C45" s="454"/>
      <c r="D45" s="454"/>
      <c r="E45" s="454"/>
      <c r="F45" s="454"/>
    </row>
    <row r="46" spans="1:6" ht="18.75">
      <c r="A46" s="611" t="s">
        <v>438</v>
      </c>
      <c r="B46" s="611"/>
      <c r="C46" s="611"/>
      <c r="D46" s="611"/>
      <c r="E46" s="473"/>
      <c r="F46" s="473"/>
    </row>
    <row r="47" spans="1:6" ht="18.75">
      <c r="A47" s="611" t="s">
        <v>439</v>
      </c>
      <c r="B47" s="611"/>
      <c r="C47" s="611"/>
      <c r="D47" s="611"/>
      <c r="E47" s="473"/>
      <c r="F47" s="473"/>
    </row>
    <row r="48" spans="1:6" ht="18.75">
      <c r="A48" s="611" t="s">
        <v>440</v>
      </c>
      <c r="B48" s="611"/>
      <c r="C48" s="611"/>
      <c r="D48" s="611"/>
      <c r="E48" s="473"/>
      <c r="F48" s="473"/>
    </row>
    <row r="49" spans="1:6" ht="18.75">
      <c r="A49" s="474" t="s">
        <v>441</v>
      </c>
      <c r="B49" s="460"/>
      <c r="C49" s="460"/>
      <c r="D49" s="454"/>
      <c r="E49" s="612" t="s">
        <v>442</v>
      </c>
      <c r="F49" s="612"/>
    </row>
    <row r="50" spans="1:6" ht="18.75">
      <c r="A50" s="474"/>
      <c r="B50" s="460"/>
      <c r="C50" s="460"/>
      <c r="D50" s="454"/>
      <c r="E50" s="475"/>
      <c r="F50" s="475"/>
    </row>
    <row r="51" ht="12.75">
      <c r="A51" s="324" t="s">
        <v>443</v>
      </c>
    </row>
    <row r="52" ht="12.75">
      <c r="A52" s="324" t="s">
        <v>444</v>
      </c>
    </row>
  </sheetData>
  <sheetProtection selectLockedCells="1" selectUnlockedCells="1"/>
  <mergeCells count="28">
    <mergeCell ref="A46:D46"/>
    <mergeCell ref="A47:D47"/>
    <mergeCell ref="A48:D48"/>
    <mergeCell ref="E49:F49"/>
    <mergeCell ref="A40:C40"/>
    <mergeCell ref="A41:C41"/>
    <mergeCell ref="A42:C42"/>
    <mergeCell ref="A43:C43"/>
    <mergeCell ref="A36:C36"/>
    <mergeCell ref="A37:C37"/>
    <mergeCell ref="A38:C38"/>
    <mergeCell ref="A39:F39"/>
    <mergeCell ref="A32:C32"/>
    <mergeCell ref="A33:C33"/>
    <mergeCell ref="A34:F34"/>
    <mergeCell ref="A35:C35"/>
    <mergeCell ref="A28:C28"/>
    <mergeCell ref="A29:C29"/>
    <mergeCell ref="A30:C30"/>
    <mergeCell ref="A31:C31"/>
    <mergeCell ref="A23:F23"/>
    <mergeCell ref="A24:F24"/>
    <mergeCell ref="A25:F25"/>
    <mergeCell ref="A26:F26"/>
    <mergeCell ref="A18:F18"/>
    <mergeCell ref="A19:F19"/>
    <mergeCell ref="A20:F20"/>
    <mergeCell ref="A21:F21"/>
  </mergeCells>
  <hyperlinks>
    <hyperlink ref="E2" r:id="rId1" display="01-nn@sandy.ru"/>
    <hyperlink ref="E11" r:id="rId2" display="ugps01@udmlinс.ru"/>
    <hyperlink ref="E12" r:id="rId3" display="statistika@mchsrb.ru"/>
    <hyperlink ref="E13" r:id="rId4" display="ugps@moris.ru"/>
    <hyperlink ref="E14" r:id="rId5" display="ugps@mari-el.ru"/>
  </hyperlinks>
  <printOptions/>
  <pageMargins left="0.75" right="0.75" top="1" bottom="1" header="0.5118055555555555" footer="0.5118055555555555"/>
  <pageSetup horizontalDpi="300" verticalDpi="300" orientation="portrait" paperSize="9" scale="85"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SheetLayoutView="100" workbookViewId="0" topLeftCell="A52">
      <selection activeCell="C8" sqref="C8"/>
    </sheetView>
  </sheetViews>
  <sheetFormatPr defaultColWidth="9.140625" defaultRowHeight="12.75"/>
  <cols>
    <col min="1" max="1" width="29.00390625" style="59" customWidth="1"/>
    <col min="2" max="3" width="5.140625" style="60" customWidth="1"/>
    <col min="4" max="4" width="8.00390625" style="60" customWidth="1"/>
    <col min="5" max="6" width="9.8515625" style="60" customWidth="1"/>
    <col min="7" max="7" width="7.7109375" style="60" customWidth="1"/>
    <col min="8" max="9" width="5.140625" style="60" customWidth="1"/>
    <col min="10" max="10" width="6.00390625" style="60" customWidth="1"/>
    <col min="11" max="11" width="6.28125" style="60" customWidth="1"/>
    <col min="12" max="12" width="5.140625" style="60" customWidth="1"/>
    <col min="13" max="13" width="6.28125" style="60" customWidth="1"/>
    <col min="14" max="15" width="5.140625" style="60" customWidth="1"/>
    <col min="16" max="16" width="6.7109375" style="60" customWidth="1"/>
    <col min="17" max="16384" width="9.140625" style="60" customWidth="1"/>
  </cols>
  <sheetData>
    <row r="1" spans="1:10" ht="12" customHeight="1">
      <c r="A1" s="560" t="s">
        <v>101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ht="12" customHeight="1">
      <c r="A2" s="560" t="s">
        <v>445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ht="12">
      <c r="A3" s="61"/>
      <c r="B3" s="62"/>
      <c r="C3" s="63"/>
      <c r="D3" s="62"/>
      <c r="E3" s="62"/>
      <c r="F3" s="62"/>
      <c r="G3" s="62"/>
      <c r="H3" s="62"/>
      <c r="I3" s="62"/>
      <c r="J3" s="62"/>
    </row>
    <row r="4" spans="1:16" ht="12">
      <c r="A4" s="476" t="s">
        <v>66</v>
      </c>
      <c r="B4" s="613" t="s">
        <v>3</v>
      </c>
      <c r="C4" s="613"/>
      <c r="D4" s="613"/>
      <c r="E4" s="613" t="s">
        <v>4</v>
      </c>
      <c r="F4" s="613"/>
      <c r="G4" s="613"/>
      <c r="H4" s="614" t="s">
        <v>5</v>
      </c>
      <c r="I4" s="614"/>
      <c r="J4" s="614"/>
      <c r="K4" s="613" t="s">
        <v>67</v>
      </c>
      <c r="L4" s="613"/>
      <c r="M4" s="613"/>
      <c r="N4" s="613" t="s">
        <v>8</v>
      </c>
      <c r="O4" s="613"/>
      <c r="P4" s="613"/>
    </row>
    <row r="5" spans="1:16" ht="12">
      <c r="A5" s="477"/>
      <c r="B5" s="478">
        <v>2012</v>
      </c>
      <c r="C5" s="479">
        <v>2011</v>
      </c>
      <c r="D5" s="480" t="s">
        <v>9</v>
      </c>
      <c r="E5" s="478">
        <f>B5</f>
        <v>2012</v>
      </c>
      <c r="F5" s="479">
        <f>C5</f>
        <v>2011</v>
      </c>
      <c r="G5" s="480" t="s">
        <v>9</v>
      </c>
      <c r="H5" s="481">
        <f>B5</f>
        <v>2012</v>
      </c>
      <c r="I5" s="478">
        <f>C5</f>
        <v>2011</v>
      </c>
      <c r="J5" s="482" t="s">
        <v>9</v>
      </c>
      <c r="K5" s="481">
        <f>B5</f>
        <v>2012</v>
      </c>
      <c r="L5" s="478">
        <f>C5</f>
        <v>2011</v>
      </c>
      <c r="M5" s="480" t="s">
        <v>9</v>
      </c>
      <c r="N5" s="481">
        <f>B5</f>
        <v>2012</v>
      </c>
      <c r="O5" s="478">
        <f>C5</f>
        <v>2011</v>
      </c>
      <c r="P5" s="480" t="s">
        <v>9</v>
      </c>
    </row>
    <row r="6" spans="1:16" ht="12">
      <c r="A6" s="483" t="s">
        <v>68</v>
      </c>
      <c r="B6" s="484">
        <f>Grig1!B58</f>
        <v>1037</v>
      </c>
      <c r="C6" s="485">
        <f>Grig1!C58</f>
        <v>1087</v>
      </c>
      <c r="D6" s="486" t="str">
        <f>IF(C6&lt;&gt;0,TEXT(((B6-C6)/C6)*100,"0,0"),"--")</f>
        <v>-4,6</v>
      </c>
      <c r="E6" s="487">
        <f>Grig1!E58</f>
        <v>75244277</v>
      </c>
      <c r="F6" s="488">
        <f>Grig1!F58</f>
        <v>63029867</v>
      </c>
      <c r="G6" s="486" t="str">
        <f>IF(F6&lt;&gt;0,TEXT(((E6-F6)/F6)*100,"0,0"),"--")</f>
        <v>19,4</v>
      </c>
      <c r="H6" s="489">
        <f>Grig1!H58</f>
        <v>92</v>
      </c>
      <c r="I6" s="490">
        <f>Grig1!I58</f>
        <v>102</v>
      </c>
      <c r="J6" s="491" t="str">
        <f>IF(I6&lt;&gt;0,TEXT(((H6-I6)/I6)*100,"0,0"),"--")</f>
        <v>-9,8</v>
      </c>
      <c r="K6" s="484">
        <f>Grig1!K58</f>
        <v>112</v>
      </c>
      <c r="L6" s="485">
        <f>Grig1!L58</f>
        <v>96</v>
      </c>
      <c r="M6" s="486" t="str">
        <f>IF(L6&lt;&gt;0,TEXT(((K6-L6)/L6)*100,"0,0"),"--")</f>
        <v>16,7</v>
      </c>
      <c r="N6" s="484">
        <f>Grig1!N58</f>
        <v>357</v>
      </c>
      <c r="O6" s="485">
        <f>Grig1!O58</f>
        <v>393</v>
      </c>
      <c r="P6" s="486" t="str">
        <f>IF(O6&lt;&gt;0,TEXT(((N6-O6)/O6)*100,"0,0"),"--")</f>
        <v>-9,2</v>
      </c>
    </row>
    <row r="7" spans="1:16" ht="12">
      <c r="A7" s="492" t="s">
        <v>69</v>
      </c>
      <c r="B7" s="493"/>
      <c r="C7" s="494"/>
      <c r="D7" s="495" t="str">
        <f aca="true" t="shared" si="0" ref="D7:D71">IF(C7&lt;&gt;0,TEXT(((B7-C7)/C7)*100,"0,0"),"--")</f>
        <v>--</v>
      </c>
      <c r="E7" s="493"/>
      <c r="F7" s="494"/>
      <c r="G7" s="495" t="str">
        <f aca="true" t="shared" si="1" ref="G7:G70">IF(F7&lt;&gt;0,TEXT(((E7-F7)/F7)*100,"0,0"),"--")</f>
        <v>--</v>
      </c>
      <c r="H7" s="496"/>
      <c r="I7" s="497"/>
      <c r="J7" s="498" t="str">
        <f aca="true" t="shared" si="2" ref="J7:J70">IF(I7&lt;&gt;0,TEXT(((H7-I7)/I7)*100,"0,0"),"--")</f>
        <v>--</v>
      </c>
      <c r="K7" s="493"/>
      <c r="L7" s="494"/>
      <c r="M7" s="495" t="str">
        <f aca="true" t="shared" si="3" ref="M7:M70">IF(L7&lt;&gt;0,TEXT(((K7-L7)/L7)*100,"0,0"),"--")</f>
        <v>--</v>
      </c>
      <c r="N7" s="493"/>
      <c r="O7" s="494"/>
      <c r="P7" s="495" t="str">
        <f aca="true" t="shared" si="4" ref="P7:P70">IF(O7&lt;&gt;0,TEXT(((N7-O7)/O7)*100,"0,0"),"--")</f>
        <v>--</v>
      </c>
    </row>
    <row r="8" spans="1:16" ht="24">
      <c r="A8" s="483" t="s">
        <v>446</v>
      </c>
      <c r="B8" s="484"/>
      <c r="C8" s="485"/>
      <c r="D8" s="486" t="str">
        <f t="shared" si="0"/>
        <v>--</v>
      </c>
      <c r="E8" s="487"/>
      <c r="F8" s="488"/>
      <c r="G8" s="486" t="str">
        <f t="shared" si="1"/>
        <v>--</v>
      </c>
      <c r="H8" s="489"/>
      <c r="I8" s="490"/>
      <c r="J8" s="491" t="str">
        <f t="shared" si="2"/>
        <v>--</v>
      </c>
      <c r="K8" s="484"/>
      <c r="L8" s="485"/>
      <c r="M8" s="486" t="str">
        <f t="shared" si="3"/>
        <v>--</v>
      </c>
      <c r="N8" s="484"/>
      <c r="O8" s="485"/>
      <c r="P8" s="486" t="str">
        <f t="shared" si="4"/>
        <v>--</v>
      </c>
    </row>
    <row r="9" spans="1:16" ht="12">
      <c r="A9" s="499" t="s">
        <v>447</v>
      </c>
      <c r="B9" s="500"/>
      <c r="C9" s="367"/>
      <c r="D9" s="501" t="str">
        <f t="shared" si="0"/>
        <v>--</v>
      </c>
      <c r="E9" s="502"/>
      <c r="F9" s="503"/>
      <c r="G9" s="501" t="str">
        <f t="shared" si="1"/>
        <v>--</v>
      </c>
      <c r="H9" s="504"/>
      <c r="I9" s="505"/>
      <c r="J9" s="506" t="str">
        <f t="shared" si="2"/>
        <v>--</v>
      </c>
      <c r="K9" s="500"/>
      <c r="L9" s="367"/>
      <c r="M9" s="501" t="str">
        <f t="shared" si="3"/>
        <v>--</v>
      </c>
      <c r="N9" s="500"/>
      <c r="O9" s="367"/>
      <c r="P9" s="501" t="str">
        <f t="shared" si="4"/>
        <v>--</v>
      </c>
    </row>
    <row r="10" spans="1:16" ht="12">
      <c r="A10" s="499" t="s">
        <v>448</v>
      </c>
      <c r="B10" s="500"/>
      <c r="C10" s="367"/>
      <c r="D10" s="501" t="str">
        <f t="shared" si="0"/>
        <v>--</v>
      </c>
      <c r="E10" s="502"/>
      <c r="F10" s="503"/>
      <c r="G10" s="501" t="str">
        <f t="shared" si="1"/>
        <v>--</v>
      </c>
      <c r="H10" s="504"/>
      <c r="I10" s="505"/>
      <c r="J10" s="506" t="str">
        <f t="shared" si="2"/>
        <v>--</v>
      </c>
      <c r="K10" s="500"/>
      <c r="L10" s="367"/>
      <c r="M10" s="501" t="str">
        <f t="shared" si="3"/>
        <v>--</v>
      </c>
      <c r="N10" s="500"/>
      <c r="O10" s="367"/>
      <c r="P10" s="501" t="str">
        <f t="shared" si="4"/>
        <v>--</v>
      </c>
    </row>
    <row r="11" spans="1:16" ht="24">
      <c r="A11" s="499" t="s">
        <v>449</v>
      </c>
      <c r="B11" s="500"/>
      <c r="C11" s="367"/>
      <c r="D11" s="501" t="str">
        <f t="shared" si="0"/>
        <v>--</v>
      </c>
      <c r="E11" s="502"/>
      <c r="F11" s="503"/>
      <c r="G11" s="501" t="str">
        <f t="shared" si="1"/>
        <v>--</v>
      </c>
      <c r="H11" s="504"/>
      <c r="I11" s="505"/>
      <c r="J11" s="506" t="str">
        <f t="shared" si="2"/>
        <v>--</v>
      </c>
      <c r="K11" s="500"/>
      <c r="L11" s="367"/>
      <c r="M11" s="501" t="str">
        <f t="shared" si="3"/>
        <v>--</v>
      </c>
      <c r="N11" s="500"/>
      <c r="O11" s="367"/>
      <c r="P11" s="501" t="str">
        <f t="shared" si="4"/>
        <v>--</v>
      </c>
    </row>
    <row r="12" spans="1:16" ht="12">
      <c r="A12" s="499" t="s">
        <v>450</v>
      </c>
      <c r="B12" s="500"/>
      <c r="C12" s="367"/>
      <c r="D12" s="501" t="str">
        <f t="shared" si="0"/>
        <v>--</v>
      </c>
      <c r="E12" s="502"/>
      <c r="F12" s="503"/>
      <c r="G12" s="501" t="str">
        <f t="shared" si="1"/>
        <v>--</v>
      </c>
      <c r="H12" s="504"/>
      <c r="I12" s="505"/>
      <c r="J12" s="506" t="str">
        <f t="shared" si="2"/>
        <v>--</v>
      </c>
      <c r="K12" s="500"/>
      <c r="L12" s="367"/>
      <c r="M12" s="501" t="str">
        <f t="shared" si="3"/>
        <v>--</v>
      </c>
      <c r="N12" s="500"/>
      <c r="O12" s="367"/>
      <c r="P12" s="501" t="str">
        <f t="shared" si="4"/>
        <v>--</v>
      </c>
    </row>
    <row r="13" spans="1:16" ht="12">
      <c r="A13" s="499" t="s">
        <v>451</v>
      </c>
      <c r="B13" s="500"/>
      <c r="C13" s="367"/>
      <c r="D13" s="501" t="str">
        <f t="shared" si="0"/>
        <v>--</v>
      </c>
      <c r="E13" s="502"/>
      <c r="F13" s="503"/>
      <c r="G13" s="501" t="str">
        <f t="shared" si="1"/>
        <v>--</v>
      </c>
      <c r="H13" s="504"/>
      <c r="I13" s="505"/>
      <c r="J13" s="506" t="str">
        <f t="shared" si="2"/>
        <v>--</v>
      </c>
      <c r="K13" s="500"/>
      <c r="L13" s="367"/>
      <c r="M13" s="501" t="str">
        <f t="shared" si="3"/>
        <v>--</v>
      </c>
      <c r="N13" s="500"/>
      <c r="O13" s="367"/>
      <c r="P13" s="501" t="str">
        <f t="shared" si="4"/>
        <v>--</v>
      </c>
    </row>
    <row r="14" spans="1:16" ht="36">
      <c r="A14" s="492" t="s">
        <v>452</v>
      </c>
      <c r="B14" s="493"/>
      <c r="C14" s="494"/>
      <c r="D14" s="495" t="str">
        <f t="shared" si="0"/>
        <v>--</v>
      </c>
      <c r="E14" s="507"/>
      <c r="F14" s="508"/>
      <c r="G14" s="495" t="str">
        <f t="shared" si="1"/>
        <v>--</v>
      </c>
      <c r="H14" s="496"/>
      <c r="I14" s="497"/>
      <c r="J14" s="498" t="str">
        <f t="shared" si="2"/>
        <v>--</v>
      </c>
      <c r="K14" s="493"/>
      <c r="L14" s="494"/>
      <c r="M14" s="495" t="str">
        <f t="shared" si="3"/>
        <v>--</v>
      </c>
      <c r="N14" s="493"/>
      <c r="O14" s="494"/>
      <c r="P14" s="495" t="str">
        <f t="shared" si="4"/>
        <v>--</v>
      </c>
    </row>
    <row r="15" spans="1:16" ht="12">
      <c r="A15" s="483" t="s">
        <v>453</v>
      </c>
      <c r="B15" s="484"/>
      <c r="C15" s="485"/>
      <c r="D15" s="486" t="str">
        <f t="shared" si="0"/>
        <v>--</v>
      </c>
      <c r="E15" s="487"/>
      <c r="F15" s="488"/>
      <c r="G15" s="486" t="str">
        <f t="shared" si="1"/>
        <v>--</v>
      </c>
      <c r="H15" s="489"/>
      <c r="I15" s="490"/>
      <c r="J15" s="491" t="str">
        <f t="shared" si="2"/>
        <v>--</v>
      </c>
      <c r="K15" s="484"/>
      <c r="L15" s="485"/>
      <c r="M15" s="486" t="str">
        <f t="shared" si="3"/>
        <v>--</v>
      </c>
      <c r="N15" s="484"/>
      <c r="O15" s="485"/>
      <c r="P15" s="486" t="str">
        <f t="shared" si="4"/>
        <v>--</v>
      </c>
    </row>
    <row r="16" spans="1:16" ht="12">
      <c r="A16" s="499" t="s">
        <v>454</v>
      </c>
      <c r="B16" s="500"/>
      <c r="C16" s="367"/>
      <c r="D16" s="501" t="str">
        <f t="shared" si="0"/>
        <v>--</v>
      </c>
      <c r="E16" s="502"/>
      <c r="F16" s="503"/>
      <c r="G16" s="501" t="str">
        <f t="shared" si="1"/>
        <v>--</v>
      </c>
      <c r="H16" s="504"/>
      <c r="I16" s="505"/>
      <c r="J16" s="506" t="str">
        <f t="shared" si="2"/>
        <v>--</v>
      </c>
      <c r="K16" s="500"/>
      <c r="L16" s="367"/>
      <c r="M16" s="501" t="str">
        <f t="shared" si="3"/>
        <v>--</v>
      </c>
      <c r="N16" s="500"/>
      <c r="O16" s="367"/>
      <c r="P16" s="501" t="str">
        <f t="shared" si="4"/>
        <v>--</v>
      </c>
    </row>
    <row r="17" spans="1:16" ht="12">
      <c r="A17" s="499" t="s">
        <v>455</v>
      </c>
      <c r="B17" s="500"/>
      <c r="C17" s="367"/>
      <c r="D17" s="501" t="str">
        <f t="shared" si="0"/>
        <v>--</v>
      </c>
      <c r="E17" s="502"/>
      <c r="F17" s="503"/>
      <c r="G17" s="501" t="str">
        <f t="shared" si="1"/>
        <v>--</v>
      </c>
      <c r="H17" s="504"/>
      <c r="I17" s="505"/>
      <c r="J17" s="506" t="str">
        <f t="shared" si="2"/>
        <v>--</v>
      </c>
      <c r="K17" s="500"/>
      <c r="L17" s="367"/>
      <c r="M17" s="501" t="str">
        <f t="shared" si="3"/>
        <v>--</v>
      </c>
      <c r="N17" s="500"/>
      <c r="O17" s="367"/>
      <c r="P17" s="501" t="str">
        <f t="shared" si="4"/>
        <v>--</v>
      </c>
    </row>
    <row r="18" spans="1:16" ht="12">
      <c r="A18" s="492" t="s">
        <v>456</v>
      </c>
      <c r="B18" s="493"/>
      <c r="C18" s="494"/>
      <c r="D18" s="495" t="str">
        <f t="shared" si="0"/>
        <v>--</v>
      </c>
      <c r="E18" s="507"/>
      <c r="F18" s="508"/>
      <c r="G18" s="495" t="str">
        <f t="shared" si="1"/>
        <v>--</v>
      </c>
      <c r="H18" s="496"/>
      <c r="I18" s="497"/>
      <c r="J18" s="498" t="str">
        <f t="shared" si="2"/>
        <v>--</v>
      </c>
      <c r="K18" s="493"/>
      <c r="L18" s="494"/>
      <c r="M18" s="495" t="str">
        <f t="shared" si="3"/>
        <v>--</v>
      </c>
      <c r="N18" s="493"/>
      <c r="O18" s="494"/>
      <c r="P18" s="495" t="str">
        <f t="shared" si="4"/>
        <v>--</v>
      </c>
    </row>
    <row r="19" spans="1:16" s="96" customFormat="1" ht="12">
      <c r="A19" s="509" t="s">
        <v>457</v>
      </c>
      <c r="B19" s="489"/>
      <c r="C19" s="490"/>
      <c r="D19" s="491" t="str">
        <f t="shared" si="0"/>
        <v>--</v>
      </c>
      <c r="E19" s="510"/>
      <c r="F19" s="511"/>
      <c r="G19" s="491" t="str">
        <f t="shared" si="1"/>
        <v>--</v>
      </c>
      <c r="H19" s="489"/>
      <c r="I19" s="490"/>
      <c r="J19" s="491" t="str">
        <f t="shared" si="2"/>
        <v>--</v>
      </c>
      <c r="K19" s="489"/>
      <c r="L19" s="490"/>
      <c r="M19" s="491" t="str">
        <f t="shared" si="3"/>
        <v>--</v>
      </c>
      <c r="N19" s="489"/>
      <c r="O19" s="490"/>
      <c r="P19" s="491" t="str">
        <f t="shared" si="4"/>
        <v>--</v>
      </c>
    </row>
    <row r="20" spans="1:16" ht="12">
      <c r="A20" s="499" t="s">
        <v>458</v>
      </c>
      <c r="B20" s="500"/>
      <c r="C20" s="367"/>
      <c r="D20" s="501" t="str">
        <f t="shared" si="0"/>
        <v>--</v>
      </c>
      <c r="E20" s="502"/>
      <c r="F20" s="503"/>
      <c r="G20" s="501" t="str">
        <f t="shared" si="1"/>
        <v>--</v>
      </c>
      <c r="H20" s="504"/>
      <c r="I20" s="505"/>
      <c r="J20" s="506" t="str">
        <f t="shared" si="2"/>
        <v>--</v>
      </c>
      <c r="K20" s="500"/>
      <c r="L20" s="367"/>
      <c r="M20" s="501" t="str">
        <f t="shared" si="3"/>
        <v>--</v>
      </c>
      <c r="N20" s="500"/>
      <c r="O20" s="367"/>
      <c r="P20" s="501" t="str">
        <f t="shared" si="4"/>
        <v>--</v>
      </c>
    </row>
    <row r="21" spans="1:16" ht="12">
      <c r="A21" s="499" t="s">
        <v>459</v>
      </c>
      <c r="B21" s="500"/>
      <c r="C21" s="367"/>
      <c r="D21" s="501" t="str">
        <f t="shared" si="0"/>
        <v>--</v>
      </c>
      <c r="E21" s="502"/>
      <c r="F21" s="503"/>
      <c r="G21" s="501" t="str">
        <f t="shared" si="1"/>
        <v>--</v>
      </c>
      <c r="H21" s="504"/>
      <c r="I21" s="505"/>
      <c r="J21" s="506" t="str">
        <f t="shared" si="2"/>
        <v>--</v>
      </c>
      <c r="K21" s="500"/>
      <c r="L21" s="367"/>
      <c r="M21" s="501" t="str">
        <f t="shared" si="3"/>
        <v>--</v>
      </c>
      <c r="N21" s="500"/>
      <c r="O21" s="367"/>
      <c r="P21" s="501" t="str">
        <f t="shared" si="4"/>
        <v>--</v>
      </c>
    </row>
    <row r="22" spans="1:16" ht="12">
      <c r="A22" s="492" t="s">
        <v>460</v>
      </c>
      <c r="B22" s="493"/>
      <c r="C22" s="494"/>
      <c r="D22" s="495" t="str">
        <f t="shared" si="0"/>
        <v>--</v>
      </c>
      <c r="E22" s="507"/>
      <c r="F22" s="508"/>
      <c r="G22" s="495" t="str">
        <f t="shared" si="1"/>
        <v>--</v>
      </c>
      <c r="H22" s="496"/>
      <c r="I22" s="497"/>
      <c r="J22" s="498" t="str">
        <f t="shared" si="2"/>
        <v>--</v>
      </c>
      <c r="K22" s="493"/>
      <c r="L22" s="494"/>
      <c r="M22" s="495" t="str">
        <f t="shared" si="3"/>
        <v>--</v>
      </c>
      <c r="N22" s="493"/>
      <c r="O22" s="494"/>
      <c r="P22" s="495" t="str">
        <f t="shared" si="4"/>
        <v>--</v>
      </c>
    </row>
    <row r="23" spans="1:16" ht="12">
      <c r="A23" s="483" t="s">
        <v>461</v>
      </c>
      <c r="B23" s="484"/>
      <c r="C23" s="485"/>
      <c r="D23" s="486" t="str">
        <f t="shared" si="0"/>
        <v>--</v>
      </c>
      <c r="E23" s="487"/>
      <c r="F23" s="488"/>
      <c r="G23" s="486" t="str">
        <f t="shared" si="1"/>
        <v>--</v>
      </c>
      <c r="H23" s="489"/>
      <c r="I23" s="490"/>
      <c r="J23" s="491" t="str">
        <f t="shared" si="2"/>
        <v>--</v>
      </c>
      <c r="K23" s="484"/>
      <c r="L23" s="485"/>
      <c r="M23" s="486" t="str">
        <f t="shared" si="3"/>
        <v>--</v>
      </c>
      <c r="N23" s="484"/>
      <c r="O23" s="485"/>
      <c r="P23" s="486" t="str">
        <f t="shared" si="4"/>
        <v>--</v>
      </c>
    </row>
    <row r="24" spans="1:16" ht="12">
      <c r="A24" s="499" t="s">
        <v>462</v>
      </c>
      <c r="B24" s="500"/>
      <c r="C24" s="367"/>
      <c r="D24" s="501" t="str">
        <f t="shared" si="0"/>
        <v>--</v>
      </c>
      <c r="E24" s="502"/>
      <c r="F24" s="503"/>
      <c r="G24" s="501" t="str">
        <f t="shared" si="1"/>
        <v>--</v>
      </c>
      <c r="H24" s="504"/>
      <c r="I24" s="505"/>
      <c r="J24" s="506" t="str">
        <f t="shared" si="2"/>
        <v>--</v>
      </c>
      <c r="K24" s="500"/>
      <c r="L24" s="367"/>
      <c r="M24" s="501" t="str">
        <f t="shared" si="3"/>
        <v>--</v>
      </c>
      <c r="N24" s="500"/>
      <c r="O24" s="367"/>
      <c r="P24" s="501" t="str">
        <f t="shared" si="4"/>
        <v>--</v>
      </c>
    </row>
    <row r="25" spans="1:16" ht="12">
      <c r="A25" s="499" t="s">
        <v>463</v>
      </c>
      <c r="B25" s="500"/>
      <c r="C25" s="367"/>
      <c r="D25" s="501" t="str">
        <f t="shared" si="0"/>
        <v>--</v>
      </c>
      <c r="E25" s="502"/>
      <c r="F25" s="503"/>
      <c r="G25" s="501" t="str">
        <f t="shared" si="1"/>
        <v>--</v>
      </c>
      <c r="H25" s="504"/>
      <c r="I25" s="505"/>
      <c r="J25" s="506" t="str">
        <f t="shared" si="2"/>
        <v>--</v>
      </c>
      <c r="K25" s="500"/>
      <c r="L25" s="367"/>
      <c r="M25" s="501" t="str">
        <f t="shared" si="3"/>
        <v>--</v>
      </c>
      <c r="N25" s="500"/>
      <c r="O25" s="367"/>
      <c r="P25" s="501" t="str">
        <f t="shared" si="4"/>
        <v>--</v>
      </c>
    </row>
    <row r="26" spans="1:16" ht="12">
      <c r="A26" s="499" t="s">
        <v>464</v>
      </c>
      <c r="B26" s="500"/>
      <c r="C26" s="367"/>
      <c r="D26" s="501" t="str">
        <f t="shared" si="0"/>
        <v>--</v>
      </c>
      <c r="E26" s="502"/>
      <c r="F26" s="503"/>
      <c r="G26" s="501" t="str">
        <f t="shared" si="1"/>
        <v>--</v>
      </c>
      <c r="H26" s="504"/>
      <c r="I26" s="505"/>
      <c r="J26" s="506" t="str">
        <f t="shared" si="2"/>
        <v>--</v>
      </c>
      <c r="K26" s="500"/>
      <c r="L26" s="367"/>
      <c r="M26" s="501" t="str">
        <f t="shared" si="3"/>
        <v>--</v>
      </c>
      <c r="N26" s="500"/>
      <c r="O26" s="367"/>
      <c r="P26" s="501" t="str">
        <f t="shared" si="4"/>
        <v>--</v>
      </c>
    </row>
    <row r="27" spans="1:16" ht="12">
      <c r="A27" s="492" t="s">
        <v>465</v>
      </c>
      <c r="B27" s="493"/>
      <c r="C27" s="494"/>
      <c r="D27" s="495" t="str">
        <f t="shared" si="0"/>
        <v>--</v>
      </c>
      <c r="E27" s="507"/>
      <c r="F27" s="508"/>
      <c r="G27" s="495" t="str">
        <f t="shared" si="1"/>
        <v>--</v>
      </c>
      <c r="H27" s="496"/>
      <c r="I27" s="497"/>
      <c r="J27" s="498" t="str">
        <f t="shared" si="2"/>
        <v>--</v>
      </c>
      <c r="K27" s="493"/>
      <c r="L27" s="494"/>
      <c r="M27" s="495" t="str">
        <f t="shared" si="3"/>
        <v>--</v>
      </c>
      <c r="N27" s="493"/>
      <c r="O27" s="494"/>
      <c r="P27" s="495" t="str">
        <f t="shared" si="4"/>
        <v>--</v>
      </c>
    </row>
    <row r="28" spans="1:16" ht="12">
      <c r="A28" s="483" t="s">
        <v>466</v>
      </c>
      <c r="B28" s="484"/>
      <c r="C28" s="485"/>
      <c r="D28" s="486" t="str">
        <f t="shared" si="0"/>
        <v>--</v>
      </c>
      <c r="E28" s="487"/>
      <c r="F28" s="488"/>
      <c r="G28" s="486" t="str">
        <f t="shared" si="1"/>
        <v>--</v>
      </c>
      <c r="H28" s="489"/>
      <c r="I28" s="490"/>
      <c r="J28" s="491" t="str">
        <f t="shared" si="2"/>
        <v>--</v>
      </c>
      <c r="K28" s="484"/>
      <c r="L28" s="485"/>
      <c r="M28" s="486" t="str">
        <f t="shared" si="3"/>
        <v>--</v>
      </c>
      <c r="N28" s="484"/>
      <c r="O28" s="485"/>
      <c r="P28" s="486" t="str">
        <f t="shared" si="4"/>
        <v>--</v>
      </c>
    </row>
    <row r="29" spans="1:16" ht="12">
      <c r="A29" s="499" t="s">
        <v>217</v>
      </c>
      <c r="B29" s="500"/>
      <c r="C29" s="367"/>
      <c r="D29" s="501" t="str">
        <f t="shared" si="0"/>
        <v>--</v>
      </c>
      <c r="E29" s="502"/>
      <c r="F29" s="503"/>
      <c r="G29" s="501" t="str">
        <f t="shared" si="1"/>
        <v>--</v>
      </c>
      <c r="H29" s="504"/>
      <c r="I29" s="505"/>
      <c r="J29" s="506" t="str">
        <f t="shared" si="2"/>
        <v>--</v>
      </c>
      <c r="K29" s="500"/>
      <c r="L29" s="367"/>
      <c r="M29" s="501" t="str">
        <f t="shared" si="3"/>
        <v>--</v>
      </c>
      <c r="N29" s="500"/>
      <c r="O29" s="367"/>
      <c r="P29" s="501" t="str">
        <f t="shared" si="4"/>
        <v>--</v>
      </c>
    </row>
    <row r="30" spans="1:16" ht="12">
      <c r="A30" s="492" t="s">
        <v>218</v>
      </c>
      <c r="B30" s="493"/>
      <c r="C30" s="494"/>
      <c r="D30" s="495" t="str">
        <f t="shared" si="0"/>
        <v>--</v>
      </c>
      <c r="E30" s="507"/>
      <c r="F30" s="508"/>
      <c r="G30" s="495" t="str">
        <f t="shared" si="1"/>
        <v>--</v>
      </c>
      <c r="H30" s="496"/>
      <c r="I30" s="497"/>
      <c r="J30" s="498" t="str">
        <f t="shared" si="2"/>
        <v>--</v>
      </c>
      <c r="K30" s="493"/>
      <c r="L30" s="494"/>
      <c r="M30" s="495" t="str">
        <f t="shared" si="3"/>
        <v>--</v>
      </c>
      <c r="N30" s="493"/>
      <c r="O30" s="494"/>
      <c r="P30" s="495" t="str">
        <f t="shared" si="4"/>
        <v>--</v>
      </c>
    </row>
    <row r="31" spans="1:16" ht="12">
      <c r="A31" s="512" t="s">
        <v>467</v>
      </c>
      <c r="B31" s="513"/>
      <c r="C31" s="514"/>
      <c r="D31" s="515" t="str">
        <f t="shared" si="0"/>
        <v>--</v>
      </c>
      <c r="E31" s="516"/>
      <c r="F31" s="517"/>
      <c r="G31" s="515" t="str">
        <f t="shared" si="1"/>
        <v>--</v>
      </c>
      <c r="H31" s="518"/>
      <c r="I31" s="519"/>
      <c r="J31" s="520" t="str">
        <f t="shared" si="2"/>
        <v>--</v>
      </c>
      <c r="K31" s="513"/>
      <c r="L31" s="514"/>
      <c r="M31" s="515" t="str">
        <f t="shared" si="3"/>
        <v>--</v>
      </c>
      <c r="N31" s="513"/>
      <c r="O31" s="514"/>
      <c r="P31" s="515" t="str">
        <f t="shared" si="4"/>
        <v>--</v>
      </c>
    </row>
    <row r="32" spans="1:16" ht="24">
      <c r="A32" s="483" t="s">
        <v>468</v>
      </c>
      <c r="B32" s="484"/>
      <c r="C32" s="485"/>
      <c r="D32" s="486" t="str">
        <f t="shared" si="0"/>
        <v>--</v>
      </c>
      <c r="E32" s="487"/>
      <c r="F32" s="488"/>
      <c r="G32" s="486" t="str">
        <f t="shared" si="1"/>
        <v>--</v>
      </c>
      <c r="H32" s="489"/>
      <c r="I32" s="490"/>
      <c r="J32" s="491" t="str">
        <f t="shared" si="2"/>
        <v>--</v>
      </c>
      <c r="K32" s="484"/>
      <c r="L32" s="485"/>
      <c r="M32" s="486" t="str">
        <f t="shared" si="3"/>
        <v>--</v>
      </c>
      <c r="N32" s="484"/>
      <c r="O32" s="485"/>
      <c r="P32" s="486" t="str">
        <f t="shared" si="4"/>
        <v>--</v>
      </c>
    </row>
    <row r="33" spans="1:16" s="96" customFormat="1" ht="12">
      <c r="A33" s="521" t="s">
        <v>469</v>
      </c>
      <c r="B33" s="504"/>
      <c r="C33" s="505"/>
      <c r="D33" s="506" t="str">
        <f t="shared" si="0"/>
        <v>--</v>
      </c>
      <c r="E33" s="522"/>
      <c r="F33" s="523"/>
      <c r="G33" s="506" t="str">
        <f t="shared" si="1"/>
        <v>--</v>
      </c>
      <c r="H33" s="504"/>
      <c r="I33" s="505"/>
      <c r="J33" s="506" t="str">
        <f t="shared" si="2"/>
        <v>--</v>
      </c>
      <c r="K33" s="504"/>
      <c r="L33" s="505"/>
      <c r="M33" s="506" t="str">
        <f t="shared" si="3"/>
        <v>--</v>
      </c>
      <c r="N33" s="504"/>
      <c r="O33" s="505"/>
      <c r="P33" s="506" t="str">
        <f t="shared" si="4"/>
        <v>--</v>
      </c>
    </row>
    <row r="34" spans="1:16" ht="12">
      <c r="A34" s="499" t="s">
        <v>470</v>
      </c>
      <c r="B34" s="500"/>
      <c r="C34" s="367"/>
      <c r="D34" s="501" t="str">
        <f t="shared" si="0"/>
        <v>--</v>
      </c>
      <c r="E34" s="502"/>
      <c r="F34" s="503"/>
      <c r="G34" s="501" t="str">
        <f t="shared" si="1"/>
        <v>--</v>
      </c>
      <c r="H34" s="504"/>
      <c r="I34" s="505"/>
      <c r="J34" s="506" t="str">
        <f t="shared" si="2"/>
        <v>--</v>
      </c>
      <c r="K34" s="500"/>
      <c r="L34" s="367"/>
      <c r="M34" s="501" t="str">
        <f t="shared" si="3"/>
        <v>--</v>
      </c>
      <c r="N34" s="500"/>
      <c r="O34" s="367"/>
      <c r="P34" s="501" t="str">
        <f t="shared" si="4"/>
        <v>--</v>
      </c>
    </row>
    <row r="35" spans="1:16" ht="24">
      <c r="A35" s="499" t="s">
        <v>471</v>
      </c>
      <c r="B35" s="500"/>
      <c r="C35" s="367"/>
      <c r="D35" s="501" t="str">
        <f t="shared" si="0"/>
        <v>--</v>
      </c>
      <c r="E35" s="502"/>
      <c r="F35" s="503"/>
      <c r="G35" s="501" t="str">
        <f t="shared" si="1"/>
        <v>--</v>
      </c>
      <c r="H35" s="504"/>
      <c r="I35" s="505"/>
      <c r="J35" s="506" t="str">
        <f t="shared" si="2"/>
        <v>--</v>
      </c>
      <c r="K35" s="500"/>
      <c r="L35" s="367"/>
      <c r="M35" s="501" t="str">
        <f t="shared" si="3"/>
        <v>--</v>
      </c>
      <c r="N35" s="500"/>
      <c r="O35" s="367"/>
      <c r="P35" s="501" t="str">
        <f t="shared" si="4"/>
        <v>--</v>
      </c>
    </row>
    <row r="36" spans="1:16" ht="24">
      <c r="A36" s="499" t="s">
        <v>472</v>
      </c>
      <c r="B36" s="500"/>
      <c r="C36" s="367"/>
      <c r="D36" s="501" t="str">
        <f t="shared" si="0"/>
        <v>--</v>
      </c>
      <c r="E36" s="502"/>
      <c r="F36" s="503"/>
      <c r="G36" s="501" t="str">
        <f t="shared" si="1"/>
        <v>--</v>
      </c>
      <c r="H36" s="504"/>
      <c r="I36" s="505"/>
      <c r="J36" s="506" t="str">
        <f t="shared" si="2"/>
        <v>--</v>
      </c>
      <c r="K36" s="500"/>
      <c r="L36" s="367"/>
      <c r="M36" s="501" t="str">
        <f t="shared" si="3"/>
        <v>--</v>
      </c>
      <c r="N36" s="500"/>
      <c r="O36" s="367"/>
      <c r="P36" s="501" t="str">
        <f t="shared" si="4"/>
        <v>--</v>
      </c>
    </row>
    <row r="37" spans="1:16" ht="24">
      <c r="A37" s="499" t="s">
        <v>473</v>
      </c>
      <c r="B37" s="500"/>
      <c r="C37" s="367"/>
      <c r="D37" s="501" t="str">
        <f t="shared" si="0"/>
        <v>--</v>
      </c>
      <c r="E37" s="502"/>
      <c r="F37" s="503"/>
      <c r="G37" s="501" t="str">
        <f t="shared" si="1"/>
        <v>--</v>
      </c>
      <c r="H37" s="504"/>
      <c r="I37" s="505"/>
      <c r="J37" s="506" t="str">
        <f t="shared" si="2"/>
        <v>--</v>
      </c>
      <c r="K37" s="500"/>
      <c r="L37" s="367"/>
      <c r="M37" s="501" t="str">
        <f t="shared" si="3"/>
        <v>--</v>
      </c>
      <c r="N37" s="500"/>
      <c r="O37" s="367"/>
      <c r="P37" s="501" t="str">
        <f t="shared" si="4"/>
        <v>--</v>
      </c>
    </row>
    <row r="38" spans="1:16" ht="24">
      <c r="A38" s="499" t="s">
        <v>474</v>
      </c>
      <c r="B38" s="500"/>
      <c r="C38" s="367"/>
      <c r="D38" s="501" t="str">
        <f t="shared" si="0"/>
        <v>--</v>
      </c>
      <c r="E38" s="502"/>
      <c r="F38" s="503"/>
      <c r="G38" s="501" t="str">
        <f t="shared" si="1"/>
        <v>--</v>
      </c>
      <c r="H38" s="504"/>
      <c r="I38" s="505"/>
      <c r="J38" s="506" t="str">
        <f t="shared" si="2"/>
        <v>--</v>
      </c>
      <c r="K38" s="500"/>
      <c r="L38" s="367"/>
      <c r="M38" s="501" t="str">
        <f t="shared" si="3"/>
        <v>--</v>
      </c>
      <c r="N38" s="500"/>
      <c r="O38" s="367"/>
      <c r="P38" s="501" t="str">
        <f t="shared" si="4"/>
        <v>--</v>
      </c>
    </row>
    <row r="39" spans="1:16" ht="12">
      <c r="A39" s="499" t="s">
        <v>475</v>
      </c>
      <c r="B39" s="500"/>
      <c r="C39" s="367"/>
      <c r="D39" s="501" t="str">
        <f t="shared" si="0"/>
        <v>--</v>
      </c>
      <c r="E39" s="502"/>
      <c r="F39" s="503"/>
      <c r="G39" s="501" t="str">
        <f t="shared" si="1"/>
        <v>--</v>
      </c>
      <c r="H39" s="504"/>
      <c r="I39" s="505"/>
      <c r="J39" s="506" t="str">
        <f t="shared" si="2"/>
        <v>--</v>
      </c>
      <c r="K39" s="500"/>
      <c r="L39" s="367"/>
      <c r="M39" s="501" t="str">
        <f t="shared" si="3"/>
        <v>--</v>
      </c>
      <c r="N39" s="500"/>
      <c r="O39" s="367"/>
      <c r="P39" s="501" t="str">
        <f t="shared" si="4"/>
        <v>--</v>
      </c>
    </row>
    <row r="40" spans="1:16" ht="12">
      <c r="A40" s="499" t="s">
        <v>476</v>
      </c>
      <c r="B40" s="500"/>
      <c r="C40" s="367"/>
      <c r="D40" s="501" t="str">
        <f t="shared" si="0"/>
        <v>--</v>
      </c>
      <c r="E40" s="502"/>
      <c r="F40" s="503"/>
      <c r="G40" s="501" t="str">
        <f t="shared" si="1"/>
        <v>--</v>
      </c>
      <c r="H40" s="504"/>
      <c r="I40" s="505"/>
      <c r="J40" s="506" t="str">
        <f t="shared" si="2"/>
        <v>--</v>
      </c>
      <c r="K40" s="500"/>
      <c r="L40" s="367"/>
      <c r="M40" s="501" t="str">
        <f t="shared" si="3"/>
        <v>--</v>
      </c>
      <c r="N40" s="500"/>
      <c r="O40" s="367"/>
      <c r="P40" s="501" t="str">
        <f t="shared" si="4"/>
        <v>--</v>
      </c>
    </row>
    <row r="41" spans="1:16" ht="12">
      <c r="A41" s="499" t="s">
        <v>477</v>
      </c>
      <c r="B41" s="500"/>
      <c r="C41" s="367"/>
      <c r="D41" s="501" t="str">
        <f t="shared" si="0"/>
        <v>--</v>
      </c>
      <c r="E41" s="502"/>
      <c r="F41" s="503"/>
      <c r="G41" s="501" t="str">
        <f t="shared" si="1"/>
        <v>--</v>
      </c>
      <c r="H41" s="504"/>
      <c r="I41" s="505"/>
      <c r="J41" s="506" t="str">
        <f t="shared" si="2"/>
        <v>--</v>
      </c>
      <c r="K41" s="500"/>
      <c r="L41" s="367"/>
      <c r="M41" s="501" t="str">
        <f t="shared" si="3"/>
        <v>--</v>
      </c>
      <c r="N41" s="500"/>
      <c r="O41" s="367"/>
      <c r="P41" s="501" t="str">
        <f t="shared" si="4"/>
        <v>--</v>
      </c>
    </row>
    <row r="42" spans="1:16" ht="12">
      <c r="A42" s="499" t="s">
        <v>478</v>
      </c>
      <c r="B42" s="500"/>
      <c r="C42" s="367"/>
      <c r="D42" s="501" t="str">
        <f t="shared" si="0"/>
        <v>--</v>
      </c>
      <c r="E42" s="502"/>
      <c r="F42" s="503"/>
      <c r="G42" s="501" t="str">
        <f t="shared" si="1"/>
        <v>--</v>
      </c>
      <c r="H42" s="504"/>
      <c r="I42" s="505"/>
      <c r="J42" s="506" t="str">
        <f t="shared" si="2"/>
        <v>--</v>
      </c>
      <c r="K42" s="500"/>
      <c r="L42" s="367"/>
      <c r="M42" s="501" t="str">
        <f t="shared" si="3"/>
        <v>--</v>
      </c>
      <c r="N42" s="500"/>
      <c r="O42" s="367"/>
      <c r="P42" s="501" t="str">
        <f t="shared" si="4"/>
        <v>--</v>
      </c>
    </row>
    <row r="43" spans="1:16" ht="12">
      <c r="A43" s="499" t="s">
        <v>479</v>
      </c>
      <c r="B43" s="500"/>
      <c r="C43" s="367"/>
      <c r="D43" s="501" t="str">
        <f t="shared" si="0"/>
        <v>--</v>
      </c>
      <c r="E43" s="502"/>
      <c r="F43" s="503"/>
      <c r="G43" s="501" t="str">
        <f t="shared" si="1"/>
        <v>--</v>
      </c>
      <c r="H43" s="504"/>
      <c r="I43" s="505"/>
      <c r="J43" s="506" t="str">
        <f t="shared" si="2"/>
        <v>--</v>
      </c>
      <c r="K43" s="500"/>
      <c r="L43" s="367"/>
      <c r="M43" s="501" t="str">
        <f t="shared" si="3"/>
        <v>--</v>
      </c>
      <c r="N43" s="500"/>
      <c r="O43" s="367"/>
      <c r="P43" s="501" t="str">
        <f t="shared" si="4"/>
        <v>--</v>
      </c>
    </row>
    <row r="44" spans="1:16" ht="12">
      <c r="A44" s="499" t="s">
        <v>480</v>
      </c>
      <c r="B44" s="500"/>
      <c r="C44" s="367"/>
      <c r="D44" s="501" t="str">
        <f t="shared" si="0"/>
        <v>--</v>
      </c>
      <c r="E44" s="502"/>
      <c r="F44" s="503"/>
      <c r="G44" s="501" t="str">
        <f t="shared" si="1"/>
        <v>--</v>
      </c>
      <c r="H44" s="504"/>
      <c r="I44" s="505"/>
      <c r="J44" s="506" t="str">
        <f t="shared" si="2"/>
        <v>--</v>
      </c>
      <c r="K44" s="500"/>
      <c r="L44" s="367"/>
      <c r="M44" s="501" t="str">
        <f t="shared" si="3"/>
        <v>--</v>
      </c>
      <c r="N44" s="500"/>
      <c r="O44" s="367"/>
      <c r="P44" s="501" t="str">
        <f t="shared" si="4"/>
        <v>--</v>
      </c>
    </row>
    <row r="45" spans="1:16" ht="12">
      <c r="A45" s="499" t="s">
        <v>481</v>
      </c>
      <c r="B45" s="500"/>
      <c r="C45" s="367"/>
      <c r="D45" s="501" t="str">
        <f t="shared" si="0"/>
        <v>--</v>
      </c>
      <c r="E45" s="502"/>
      <c r="F45" s="503"/>
      <c r="G45" s="501" t="str">
        <f t="shared" si="1"/>
        <v>--</v>
      </c>
      <c r="H45" s="504"/>
      <c r="I45" s="505"/>
      <c r="J45" s="506" t="str">
        <f t="shared" si="2"/>
        <v>--</v>
      </c>
      <c r="K45" s="500"/>
      <c r="L45" s="367"/>
      <c r="M45" s="501" t="str">
        <f t="shared" si="3"/>
        <v>--</v>
      </c>
      <c r="N45" s="500"/>
      <c r="O45" s="367"/>
      <c r="P45" s="501" t="str">
        <f t="shared" si="4"/>
        <v>--</v>
      </c>
    </row>
    <row r="46" spans="1:16" ht="12">
      <c r="A46" s="499" t="s">
        <v>482</v>
      </c>
      <c r="B46" s="500"/>
      <c r="C46" s="367"/>
      <c r="D46" s="501" t="str">
        <f t="shared" si="0"/>
        <v>--</v>
      </c>
      <c r="E46" s="502"/>
      <c r="F46" s="503"/>
      <c r="G46" s="501" t="str">
        <f t="shared" si="1"/>
        <v>--</v>
      </c>
      <c r="H46" s="504"/>
      <c r="I46" s="505"/>
      <c r="J46" s="506" t="str">
        <f t="shared" si="2"/>
        <v>--</v>
      </c>
      <c r="K46" s="500"/>
      <c r="L46" s="367"/>
      <c r="M46" s="501" t="str">
        <f t="shared" si="3"/>
        <v>--</v>
      </c>
      <c r="N46" s="500"/>
      <c r="O46" s="367"/>
      <c r="P46" s="501" t="str">
        <f t="shared" si="4"/>
        <v>--</v>
      </c>
    </row>
    <row r="47" spans="1:16" ht="12">
      <c r="A47" s="499" t="s">
        <v>483</v>
      </c>
      <c r="B47" s="500"/>
      <c r="C47" s="367"/>
      <c r="D47" s="501" t="str">
        <f t="shared" si="0"/>
        <v>--</v>
      </c>
      <c r="E47" s="502"/>
      <c r="F47" s="503"/>
      <c r="G47" s="501" t="str">
        <f t="shared" si="1"/>
        <v>--</v>
      </c>
      <c r="H47" s="504"/>
      <c r="I47" s="505"/>
      <c r="J47" s="506" t="str">
        <f t="shared" si="2"/>
        <v>--</v>
      </c>
      <c r="K47" s="500"/>
      <c r="L47" s="367"/>
      <c r="M47" s="501" t="str">
        <f t="shared" si="3"/>
        <v>--</v>
      </c>
      <c r="N47" s="500"/>
      <c r="O47" s="367"/>
      <c r="P47" s="501" t="str">
        <f t="shared" si="4"/>
        <v>--</v>
      </c>
    </row>
    <row r="48" spans="1:16" ht="12">
      <c r="A48" s="499" t="s">
        <v>484</v>
      </c>
      <c r="B48" s="500"/>
      <c r="C48" s="367"/>
      <c r="D48" s="501" t="str">
        <f t="shared" si="0"/>
        <v>--</v>
      </c>
      <c r="E48" s="502"/>
      <c r="F48" s="503"/>
      <c r="G48" s="501" t="str">
        <f t="shared" si="1"/>
        <v>--</v>
      </c>
      <c r="H48" s="504"/>
      <c r="I48" s="505"/>
      <c r="J48" s="506" t="str">
        <f t="shared" si="2"/>
        <v>--</v>
      </c>
      <c r="K48" s="500"/>
      <c r="L48" s="367"/>
      <c r="M48" s="501" t="str">
        <f t="shared" si="3"/>
        <v>--</v>
      </c>
      <c r="N48" s="500"/>
      <c r="O48" s="367"/>
      <c r="P48" s="501" t="str">
        <f t="shared" si="4"/>
        <v>--</v>
      </c>
    </row>
    <row r="49" spans="1:16" ht="12">
      <c r="A49" s="499" t="s">
        <v>485</v>
      </c>
      <c r="B49" s="500"/>
      <c r="C49" s="367"/>
      <c r="D49" s="501" t="str">
        <f t="shared" si="0"/>
        <v>--</v>
      </c>
      <c r="E49" s="502"/>
      <c r="F49" s="503"/>
      <c r="G49" s="501" t="str">
        <f t="shared" si="1"/>
        <v>--</v>
      </c>
      <c r="H49" s="504"/>
      <c r="I49" s="505"/>
      <c r="J49" s="506" t="str">
        <f t="shared" si="2"/>
        <v>--</v>
      </c>
      <c r="K49" s="500"/>
      <c r="L49" s="367"/>
      <c r="M49" s="501" t="str">
        <f t="shared" si="3"/>
        <v>--</v>
      </c>
      <c r="N49" s="500"/>
      <c r="O49" s="367"/>
      <c r="P49" s="501" t="str">
        <f t="shared" si="4"/>
        <v>--</v>
      </c>
    </row>
    <row r="50" spans="1:16" ht="12">
      <c r="A50" s="499" t="s">
        <v>486</v>
      </c>
      <c r="B50" s="500"/>
      <c r="C50" s="367"/>
      <c r="D50" s="501" t="str">
        <f t="shared" si="0"/>
        <v>--</v>
      </c>
      <c r="E50" s="502"/>
      <c r="F50" s="503"/>
      <c r="G50" s="501" t="str">
        <f t="shared" si="1"/>
        <v>--</v>
      </c>
      <c r="H50" s="504"/>
      <c r="I50" s="505"/>
      <c r="J50" s="506" t="str">
        <f t="shared" si="2"/>
        <v>--</v>
      </c>
      <c r="K50" s="500"/>
      <c r="L50" s="367"/>
      <c r="M50" s="501" t="str">
        <f t="shared" si="3"/>
        <v>--</v>
      </c>
      <c r="N50" s="500"/>
      <c r="O50" s="367"/>
      <c r="P50" s="501" t="str">
        <f t="shared" si="4"/>
        <v>--</v>
      </c>
    </row>
    <row r="51" spans="1:16" ht="12">
      <c r="A51" s="492" t="s">
        <v>487</v>
      </c>
      <c r="B51" s="493"/>
      <c r="C51" s="494"/>
      <c r="D51" s="495" t="str">
        <f t="shared" si="0"/>
        <v>--</v>
      </c>
      <c r="E51" s="507"/>
      <c r="F51" s="508"/>
      <c r="G51" s="495" t="str">
        <f t="shared" si="1"/>
        <v>--</v>
      </c>
      <c r="H51" s="496"/>
      <c r="I51" s="497"/>
      <c r="J51" s="498" t="str">
        <f t="shared" si="2"/>
        <v>--</v>
      </c>
      <c r="K51" s="493"/>
      <c r="L51" s="494"/>
      <c r="M51" s="495" t="str">
        <f t="shared" si="3"/>
        <v>--</v>
      </c>
      <c r="N51" s="493"/>
      <c r="O51" s="494"/>
      <c r="P51" s="495" t="str">
        <f t="shared" si="4"/>
        <v>--</v>
      </c>
    </row>
    <row r="52" spans="1:16" ht="12">
      <c r="A52" s="512" t="s">
        <v>488</v>
      </c>
      <c r="B52" s="513"/>
      <c r="C52" s="514"/>
      <c r="D52" s="515" t="str">
        <f t="shared" si="0"/>
        <v>--</v>
      </c>
      <c r="E52" s="516"/>
      <c r="F52" s="517"/>
      <c r="G52" s="515" t="str">
        <f t="shared" si="1"/>
        <v>--</v>
      </c>
      <c r="H52" s="518"/>
      <c r="I52" s="519"/>
      <c r="J52" s="520" t="str">
        <f t="shared" si="2"/>
        <v>--</v>
      </c>
      <c r="K52" s="513"/>
      <c r="L52" s="514"/>
      <c r="M52" s="515" t="str">
        <f t="shared" si="3"/>
        <v>--</v>
      </c>
      <c r="N52" s="513"/>
      <c r="O52" s="514"/>
      <c r="P52" s="515" t="str">
        <f t="shared" si="4"/>
        <v>--</v>
      </c>
    </row>
    <row r="53" spans="1:16" ht="24">
      <c r="A53" s="512" t="s">
        <v>489</v>
      </c>
      <c r="B53" s="513"/>
      <c r="C53" s="514"/>
      <c r="D53" s="515" t="str">
        <f t="shared" si="0"/>
        <v>--</v>
      </c>
      <c r="E53" s="516"/>
      <c r="F53" s="517"/>
      <c r="G53" s="515" t="str">
        <f t="shared" si="1"/>
        <v>--</v>
      </c>
      <c r="H53" s="518"/>
      <c r="I53" s="519"/>
      <c r="J53" s="520" t="str">
        <f t="shared" si="2"/>
        <v>--</v>
      </c>
      <c r="K53" s="513"/>
      <c r="L53" s="514"/>
      <c r="M53" s="515" t="str">
        <f t="shared" si="3"/>
        <v>--</v>
      </c>
      <c r="N53" s="513"/>
      <c r="O53" s="514"/>
      <c r="P53" s="515" t="str">
        <f t="shared" si="4"/>
        <v>--</v>
      </c>
    </row>
    <row r="54" spans="1:16" ht="12">
      <c r="A54" s="512" t="s">
        <v>490</v>
      </c>
      <c r="B54" s="513"/>
      <c r="C54" s="514"/>
      <c r="D54" s="515" t="str">
        <f t="shared" si="0"/>
        <v>--</v>
      </c>
      <c r="E54" s="516"/>
      <c r="F54" s="517"/>
      <c r="G54" s="515" t="str">
        <f t="shared" si="1"/>
        <v>--</v>
      </c>
      <c r="H54" s="518"/>
      <c r="I54" s="519"/>
      <c r="J54" s="520" t="str">
        <f t="shared" si="2"/>
        <v>--</v>
      </c>
      <c r="K54" s="513"/>
      <c r="L54" s="514"/>
      <c r="M54" s="515" t="str">
        <f t="shared" si="3"/>
        <v>--</v>
      </c>
      <c r="N54" s="513"/>
      <c r="O54" s="514"/>
      <c r="P54" s="515" t="str">
        <f t="shared" si="4"/>
        <v>--</v>
      </c>
    </row>
    <row r="55" spans="1:16" ht="12">
      <c r="A55" s="512" t="s">
        <v>491</v>
      </c>
      <c r="B55" s="513"/>
      <c r="C55" s="514"/>
      <c r="D55" s="515" t="str">
        <f t="shared" si="0"/>
        <v>--</v>
      </c>
      <c r="E55" s="516"/>
      <c r="F55" s="517"/>
      <c r="G55" s="515" t="str">
        <f t="shared" si="1"/>
        <v>--</v>
      </c>
      <c r="H55" s="518"/>
      <c r="I55" s="519"/>
      <c r="J55" s="520" t="str">
        <f t="shared" si="2"/>
        <v>--</v>
      </c>
      <c r="K55" s="513"/>
      <c r="L55" s="514"/>
      <c r="M55" s="515" t="str">
        <f t="shared" si="3"/>
        <v>--</v>
      </c>
      <c r="N55" s="513"/>
      <c r="O55" s="514"/>
      <c r="P55" s="515" t="str">
        <f t="shared" si="4"/>
        <v>--</v>
      </c>
    </row>
    <row r="56" spans="1:16" ht="12">
      <c r="A56" s="524" t="s">
        <v>492</v>
      </c>
      <c r="B56" s="513"/>
      <c r="C56" s="514"/>
      <c r="D56" s="515" t="str">
        <f t="shared" si="0"/>
        <v>--</v>
      </c>
      <c r="E56" s="516"/>
      <c r="F56" s="517"/>
      <c r="G56" s="515" t="str">
        <f t="shared" si="1"/>
        <v>--</v>
      </c>
      <c r="H56" s="518"/>
      <c r="I56" s="519"/>
      <c r="J56" s="520" t="str">
        <f t="shared" si="2"/>
        <v>--</v>
      </c>
      <c r="K56" s="513"/>
      <c r="L56" s="514"/>
      <c r="M56" s="515" t="str">
        <f t="shared" si="3"/>
        <v>--</v>
      </c>
      <c r="N56" s="513"/>
      <c r="O56" s="514"/>
      <c r="P56" s="515" t="str">
        <f t="shared" si="4"/>
        <v>--</v>
      </c>
    </row>
    <row r="57" spans="1:16" ht="12">
      <c r="A57" s="524" t="s">
        <v>493</v>
      </c>
      <c r="B57" s="513"/>
      <c r="C57" s="514"/>
      <c r="D57" s="515" t="str">
        <f t="shared" si="0"/>
        <v>--</v>
      </c>
      <c r="E57" s="516"/>
      <c r="F57" s="517"/>
      <c r="G57" s="515" t="str">
        <f t="shared" si="1"/>
        <v>--</v>
      </c>
      <c r="H57" s="518"/>
      <c r="I57" s="519"/>
      <c r="J57" s="520" t="str">
        <f t="shared" si="2"/>
        <v>--</v>
      </c>
      <c r="K57" s="513"/>
      <c r="L57" s="514"/>
      <c r="M57" s="515" t="str">
        <f t="shared" si="3"/>
        <v>--</v>
      </c>
      <c r="N57" s="513"/>
      <c r="O57" s="514"/>
      <c r="P57" s="515" t="str">
        <f t="shared" si="4"/>
        <v>--</v>
      </c>
    </row>
    <row r="58" spans="1:16" ht="12">
      <c r="A58" s="524" t="s">
        <v>494</v>
      </c>
      <c r="B58" s="513"/>
      <c r="C58" s="514"/>
      <c r="D58" s="515" t="str">
        <f t="shared" si="0"/>
        <v>--</v>
      </c>
      <c r="E58" s="516"/>
      <c r="F58" s="517"/>
      <c r="G58" s="515" t="str">
        <f t="shared" si="1"/>
        <v>--</v>
      </c>
      <c r="H58" s="518"/>
      <c r="I58" s="519"/>
      <c r="J58" s="520" t="str">
        <f t="shared" si="2"/>
        <v>--</v>
      </c>
      <c r="K58" s="513"/>
      <c r="L58" s="514"/>
      <c r="M58" s="515" t="str">
        <f t="shared" si="3"/>
        <v>--</v>
      </c>
      <c r="N58" s="513"/>
      <c r="O58" s="514"/>
      <c r="P58" s="515" t="str">
        <f t="shared" si="4"/>
        <v>--</v>
      </c>
    </row>
    <row r="59" spans="1:16" ht="24">
      <c r="A59" s="512" t="s">
        <v>495</v>
      </c>
      <c r="B59" s="513"/>
      <c r="C59" s="514"/>
      <c r="D59" s="515" t="str">
        <f t="shared" si="0"/>
        <v>--</v>
      </c>
      <c r="E59" s="516"/>
      <c r="F59" s="517"/>
      <c r="G59" s="515" t="str">
        <f t="shared" si="1"/>
        <v>--</v>
      </c>
      <c r="H59" s="518"/>
      <c r="I59" s="519"/>
      <c r="J59" s="520" t="str">
        <f t="shared" si="2"/>
        <v>--</v>
      </c>
      <c r="K59" s="513"/>
      <c r="L59" s="514"/>
      <c r="M59" s="515" t="str">
        <f t="shared" si="3"/>
        <v>--</v>
      </c>
      <c r="N59" s="513"/>
      <c r="O59" s="514"/>
      <c r="P59" s="515" t="str">
        <f t="shared" si="4"/>
        <v>--</v>
      </c>
    </row>
    <row r="60" spans="1:16" ht="12">
      <c r="A60" s="512" t="s">
        <v>496</v>
      </c>
      <c r="B60" s="513"/>
      <c r="C60" s="514"/>
      <c r="D60" s="515" t="str">
        <f t="shared" si="0"/>
        <v>--</v>
      </c>
      <c r="E60" s="516"/>
      <c r="F60" s="517"/>
      <c r="G60" s="515" t="str">
        <f t="shared" si="1"/>
        <v>--</v>
      </c>
      <c r="H60" s="518"/>
      <c r="I60" s="519"/>
      <c r="J60" s="520" t="str">
        <f t="shared" si="2"/>
        <v>--</v>
      </c>
      <c r="K60" s="513"/>
      <c r="L60" s="514"/>
      <c r="M60" s="515" t="str">
        <f t="shared" si="3"/>
        <v>--</v>
      </c>
      <c r="N60" s="513"/>
      <c r="O60" s="514"/>
      <c r="P60" s="515" t="str">
        <f t="shared" si="4"/>
        <v>--</v>
      </c>
    </row>
    <row r="61" spans="1:16" ht="12">
      <c r="A61" s="512" t="s">
        <v>497</v>
      </c>
      <c r="B61" s="513"/>
      <c r="C61" s="514"/>
      <c r="D61" s="515" t="str">
        <f t="shared" si="0"/>
        <v>--</v>
      </c>
      <c r="E61" s="516"/>
      <c r="F61" s="517"/>
      <c r="G61" s="515" t="str">
        <f t="shared" si="1"/>
        <v>--</v>
      </c>
      <c r="H61" s="518"/>
      <c r="I61" s="519"/>
      <c r="J61" s="520" t="str">
        <f t="shared" si="2"/>
        <v>--</v>
      </c>
      <c r="K61" s="513"/>
      <c r="L61" s="514"/>
      <c r="M61" s="515" t="str">
        <f t="shared" si="3"/>
        <v>--</v>
      </c>
      <c r="N61" s="513"/>
      <c r="O61" s="514"/>
      <c r="P61" s="515" t="str">
        <f t="shared" si="4"/>
        <v>--</v>
      </c>
    </row>
    <row r="62" spans="1:16" ht="12">
      <c r="A62" s="512" t="s">
        <v>498</v>
      </c>
      <c r="B62" s="513"/>
      <c r="C62" s="514"/>
      <c r="D62" s="515" t="str">
        <f t="shared" si="0"/>
        <v>--</v>
      </c>
      <c r="E62" s="516"/>
      <c r="F62" s="517"/>
      <c r="G62" s="515" t="str">
        <f t="shared" si="1"/>
        <v>--</v>
      </c>
      <c r="H62" s="518"/>
      <c r="I62" s="519"/>
      <c r="J62" s="520" t="str">
        <f t="shared" si="2"/>
        <v>--</v>
      </c>
      <c r="K62" s="513"/>
      <c r="L62" s="514"/>
      <c r="M62" s="515" t="str">
        <f t="shared" si="3"/>
        <v>--</v>
      </c>
      <c r="N62" s="513"/>
      <c r="O62" s="514"/>
      <c r="P62" s="515" t="str">
        <f t="shared" si="4"/>
        <v>--</v>
      </c>
    </row>
    <row r="63" spans="1:16" ht="12">
      <c r="A63" s="512" t="s">
        <v>499</v>
      </c>
      <c r="B63" s="513"/>
      <c r="C63" s="514"/>
      <c r="D63" s="515" t="str">
        <f t="shared" si="0"/>
        <v>--</v>
      </c>
      <c r="E63" s="516"/>
      <c r="F63" s="517"/>
      <c r="G63" s="515" t="str">
        <f t="shared" si="1"/>
        <v>--</v>
      </c>
      <c r="H63" s="518"/>
      <c r="I63" s="519"/>
      <c r="J63" s="520" t="str">
        <f t="shared" si="2"/>
        <v>--</v>
      </c>
      <c r="K63" s="513"/>
      <c r="L63" s="514"/>
      <c r="M63" s="515" t="str">
        <f t="shared" si="3"/>
        <v>--</v>
      </c>
      <c r="N63" s="513"/>
      <c r="O63" s="514"/>
      <c r="P63" s="515" t="str">
        <f t="shared" si="4"/>
        <v>--</v>
      </c>
    </row>
    <row r="64" spans="1:16" ht="12">
      <c r="A64" s="512" t="s">
        <v>500</v>
      </c>
      <c r="B64" s="513"/>
      <c r="C64" s="514"/>
      <c r="D64" s="515" t="str">
        <f t="shared" si="0"/>
        <v>--</v>
      </c>
      <c r="E64" s="516"/>
      <c r="F64" s="517"/>
      <c r="G64" s="515" t="str">
        <f t="shared" si="1"/>
        <v>--</v>
      </c>
      <c r="H64" s="518"/>
      <c r="I64" s="519"/>
      <c r="J64" s="520" t="str">
        <f t="shared" si="2"/>
        <v>--</v>
      </c>
      <c r="K64" s="513"/>
      <c r="L64" s="514"/>
      <c r="M64" s="515" t="str">
        <f t="shared" si="3"/>
        <v>--</v>
      </c>
      <c r="N64" s="513"/>
      <c r="O64" s="514"/>
      <c r="P64" s="515" t="str">
        <f t="shared" si="4"/>
        <v>--</v>
      </c>
    </row>
    <row r="65" spans="1:16" ht="12">
      <c r="A65" s="512" t="s">
        <v>501</v>
      </c>
      <c r="B65" s="513"/>
      <c r="C65" s="514"/>
      <c r="D65" s="515" t="str">
        <f t="shared" si="0"/>
        <v>--</v>
      </c>
      <c r="E65" s="516"/>
      <c r="F65" s="517"/>
      <c r="G65" s="515" t="str">
        <f t="shared" si="1"/>
        <v>--</v>
      </c>
      <c r="H65" s="518"/>
      <c r="I65" s="519"/>
      <c r="J65" s="520" t="str">
        <f t="shared" si="2"/>
        <v>--</v>
      </c>
      <c r="K65" s="513"/>
      <c r="L65" s="514"/>
      <c r="M65" s="515" t="str">
        <f t="shared" si="3"/>
        <v>--</v>
      </c>
      <c r="N65" s="513"/>
      <c r="O65" s="514"/>
      <c r="P65" s="515" t="str">
        <f t="shared" si="4"/>
        <v>--</v>
      </c>
    </row>
    <row r="66" spans="1:16" ht="12">
      <c r="A66" s="512" t="s">
        <v>502</v>
      </c>
      <c r="B66" s="513"/>
      <c r="C66" s="514"/>
      <c r="D66" s="515" t="str">
        <f t="shared" si="0"/>
        <v>--</v>
      </c>
      <c r="E66" s="516"/>
      <c r="F66" s="517"/>
      <c r="G66" s="515" t="str">
        <f t="shared" si="1"/>
        <v>--</v>
      </c>
      <c r="H66" s="518"/>
      <c r="I66" s="519"/>
      <c r="J66" s="520" t="str">
        <f t="shared" si="2"/>
        <v>--</v>
      </c>
      <c r="K66" s="513"/>
      <c r="L66" s="514"/>
      <c r="M66" s="515" t="str">
        <f t="shared" si="3"/>
        <v>--</v>
      </c>
      <c r="N66" s="513"/>
      <c r="O66" s="514"/>
      <c r="P66" s="515" t="str">
        <f t="shared" si="4"/>
        <v>--</v>
      </c>
    </row>
    <row r="67" spans="1:16" ht="12">
      <c r="A67" s="512" t="s">
        <v>503</v>
      </c>
      <c r="B67" s="513"/>
      <c r="C67" s="514"/>
      <c r="D67" s="515" t="str">
        <f t="shared" si="0"/>
        <v>--</v>
      </c>
      <c r="E67" s="516"/>
      <c r="F67" s="517"/>
      <c r="G67" s="515" t="str">
        <f t="shared" si="1"/>
        <v>--</v>
      </c>
      <c r="H67" s="518"/>
      <c r="I67" s="519"/>
      <c r="J67" s="520" t="str">
        <f t="shared" si="2"/>
        <v>--</v>
      </c>
      <c r="K67" s="513"/>
      <c r="L67" s="514"/>
      <c r="M67" s="515" t="str">
        <f t="shared" si="3"/>
        <v>--</v>
      </c>
      <c r="N67" s="513"/>
      <c r="O67" s="514"/>
      <c r="P67" s="515" t="str">
        <f t="shared" si="4"/>
        <v>--</v>
      </c>
    </row>
    <row r="68" spans="1:16" ht="12">
      <c r="A68" s="476" t="s">
        <v>504</v>
      </c>
      <c r="B68" s="525"/>
      <c r="C68" s="526"/>
      <c r="D68" s="515" t="str">
        <f t="shared" si="0"/>
        <v>--</v>
      </c>
      <c r="E68" s="527"/>
      <c r="F68" s="528"/>
      <c r="G68" s="515" t="str">
        <f t="shared" si="1"/>
        <v>--</v>
      </c>
      <c r="H68" s="529"/>
      <c r="I68" s="530"/>
      <c r="J68" s="520" t="str">
        <f t="shared" si="2"/>
        <v>--</v>
      </c>
      <c r="K68" s="525"/>
      <c r="L68" s="526"/>
      <c r="M68" s="515" t="str">
        <f t="shared" si="3"/>
        <v>--</v>
      </c>
      <c r="N68" s="525"/>
      <c r="O68" s="526"/>
      <c r="P68" s="515" t="str">
        <f t="shared" si="4"/>
        <v>--</v>
      </c>
    </row>
    <row r="69" spans="1:16" ht="12">
      <c r="A69" s="483" t="s">
        <v>505</v>
      </c>
      <c r="B69" s="484"/>
      <c r="C69" s="485"/>
      <c r="D69" s="486" t="str">
        <f t="shared" si="0"/>
        <v>--</v>
      </c>
      <c r="E69" s="487"/>
      <c r="F69" s="488"/>
      <c r="G69" s="486" t="str">
        <f t="shared" si="1"/>
        <v>--</v>
      </c>
      <c r="H69" s="489"/>
      <c r="I69" s="490"/>
      <c r="J69" s="491" t="str">
        <f t="shared" si="2"/>
        <v>--</v>
      </c>
      <c r="K69" s="484"/>
      <c r="L69" s="485"/>
      <c r="M69" s="486" t="str">
        <f t="shared" si="3"/>
        <v>--</v>
      </c>
      <c r="N69" s="484"/>
      <c r="O69" s="485"/>
      <c r="P69" s="486" t="str">
        <f t="shared" si="4"/>
        <v>--</v>
      </c>
    </row>
    <row r="70" spans="1:16" ht="12">
      <c r="A70" s="492" t="s">
        <v>506</v>
      </c>
      <c r="B70" s="493"/>
      <c r="C70" s="494"/>
      <c r="D70" s="531" t="str">
        <f t="shared" si="0"/>
        <v>--</v>
      </c>
      <c r="E70" s="507"/>
      <c r="F70" s="508"/>
      <c r="G70" s="531" t="str">
        <f t="shared" si="1"/>
        <v>--</v>
      </c>
      <c r="H70" s="496"/>
      <c r="I70" s="497"/>
      <c r="J70" s="532" t="str">
        <f t="shared" si="2"/>
        <v>--</v>
      </c>
      <c r="K70" s="493"/>
      <c r="L70" s="494"/>
      <c r="M70" s="531" t="str">
        <f t="shared" si="3"/>
        <v>--</v>
      </c>
      <c r="N70" s="493"/>
      <c r="O70" s="494"/>
      <c r="P70" s="531" t="str">
        <f t="shared" si="4"/>
        <v>--</v>
      </c>
    </row>
    <row r="71" spans="1:16" ht="12">
      <c r="A71" s="533" t="s">
        <v>507</v>
      </c>
      <c r="B71" s="534"/>
      <c r="C71" s="535"/>
      <c r="D71" s="515" t="str">
        <f t="shared" si="0"/>
        <v>--</v>
      </c>
      <c r="E71" s="536"/>
      <c r="F71" s="537"/>
      <c r="G71" s="515" t="str">
        <f>IF(F71&lt;&gt;0,TEXT(((E71-F71)/F71)*100,"0,0"),"--")</f>
        <v>--</v>
      </c>
      <c r="H71" s="538"/>
      <c r="I71" s="539"/>
      <c r="J71" s="520" t="str">
        <f>IF(I71&lt;&gt;0,TEXT(((H71-I71)/I71)*100,"0,0"),"--")</f>
        <v>--</v>
      </c>
      <c r="K71" s="534"/>
      <c r="L71" s="535"/>
      <c r="M71" s="515" t="str">
        <f>IF(L71&lt;&gt;0,TEXT(((K71-L71)/L71)*100,"0,0"),"--")</f>
        <v>--</v>
      </c>
      <c r="N71" s="534"/>
      <c r="O71" s="535"/>
      <c r="P71" s="515" t="str">
        <f>IF(O71&lt;&gt;0,TEXT(((N71-O71)/O71)*100,"0,0"),"--")</f>
        <v>--</v>
      </c>
    </row>
  </sheetData>
  <sheetProtection selectLockedCells="1" selectUnlockedCells="1"/>
  <mergeCells count="7">
    <mergeCell ref="K4:M4"/>
    <mergeCell ref="N4:P4"/>
    <mergeCell ref="A1:J1"/>
    <mergeCell ref="A2:J2"/>
    <mergeCell ref="B4:D4"/>
    <mergeCell ref="E4:G4"/>
    <mergeCell ref="H4:J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view="pageBreakPreview" zoomScaleNormal="70" zoomScaleSheetLayoutView="100" workbookViewId="0" topLeftCell="A7">
      <selection activeCell="E21" sqref="E21"/>
    </sheetView>
  </sheetViews>
  <sheetFormatPr defaultColWidth="9.140625" defaultRowHeight="12.75"/>
  <cols>
    <col min="1" max="1" width="31.28125" style="170" customWidth="1"/>
    <col min="2" max="2" width="8.00390625" style="170" customWidth="1"/>
    <col min="3" max="3" width="7.57421875" style="170" customWidth="1"/>
    <col min="4" max="4" width="10.57421875" style="170" customWidth="1"/>
    <col min="5" max="6" width="15.57421875" style="170" customWidth="1"/>
    <col min="7" max="7" width="12.28125" style="170" customWidth="1"/>
    <col min="8" max="9" width="10.00390625" style="170" customWidth="1"/>
    <col min="10" max="10" width="10.57421875" style="170" customWidth="1"/>
    <col min="11" max="12" width="11.8515625" style="170" customWidth="1"/>
    <col min="13" max="13" width="11.140625" style="170" customWidth="1"/>
    <col min="14" max="14" width="10.140625" style="170" customWidth="1"/>
    <col min="15" max="15" width="10.421875" style="170" customWidth="1"/>
    <col min="16" max="16" width="10.8515625" style="170" customWidth="1"/>
    <col min="17" max="18" width="7.57421875" style="170" customWidth="1"/>
    <col min="19" max="19" width="10.421875" style="170" customWidth="1"/>
    <col min="20" max="21" width="8.28125" style="170" customWidth="1"/>
    <col min="22" max="22" width="10.421875" style="170" customWidth="1"/>
    <col min="23" max="23" width="14.00390625" style="170" customWidth="1"/>
    <col min="24" max="24" width="8.421875" style="170" customWidth="1"/>
    <col min="25" max="25" width="8.28125" style="170" customWidth="1"/>
    <col min="26" max="26" width="12.00390625" style="170" customWidth="1"/>
    <col min="27" max="27" width="11.421875" style="170" customWidth="1"/>
    <col min="28" max="28" width="10.7109375" style="170" customWidth="1"/>
    <col min="29" max="29" width="13.57421875" style="170" customWidth="1"/>
    <col min="30" max="30" width="12.28125" style="170" customWidth="1"/>
    <col min="31" max="31" width="16.57421875" style="170" customWidth="1"/>
    <col min="32" max="16384" width="17.8515625" style="170" customWidth="1"/>
  </cols>
  <sheetData>
    <row r="1" spans="1:19" ht="20.25">
      <c r="A1" s="576" t="s">
        <v>136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</row>
    <row r="2" spans="1:19" ht="20.25">
      <c r="A2" s="576" t="str">
        <f>Grig1!A2</f>
        <v> Сведения по пожарам в Чувашской Республике с 00ч.00мин. 01.01.2012г. по 00ч.00мин. 20.12.2012г.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31" ht="44.25" customHeight="1">
      <c r="A3" s="171" t="s">
        <v>2</v>
      </c>
      <c r="B3" s="577" t="s">
        <v>137</v>
      </c>
      <c r="C3" s="577"/>
      <c r="D3" s="577"/>
      <c r="E3" s="578" t="s">
        <v>138</v>
      </c>
      <c r="F3" s="578"/>
      <c r="G3" s="578"/>
      <c r="H3" s="578" t="s">
        <v>508</v>
      </c>
      <c r="I3" s="578"/>
      <c r="J3" s="578"/>
      <c r="K3" s="578" t="s">
        <v>140</v>
      </c>
      <c r="L3" s="578"/>
      <c r="M3" s="578"/>
      <c r="N3" s="579" t="s">
        <v>141</v>
      </c>
      <c r="O3" s="579"/>
      <c r="P3" s="579"/>
      <c r="Q3" s="579" t="s">
        <v>142</v>
      </c>
      <c r="R3" s="579"/>
      <c r="S3" s="579"/>
      <c r="T3" s="578" t="s">
        <v>509</v>
      </c>
      <c r="U3" s="578"/>
      <c r="V3" s="578"/>
      <c r="W3" s="540" t="s">
        <v>510</v>
      </c>
      <c r="X3" s="578" t="s">
        <v>511</v>
      </c>
      <c r="Y3" s="578"/>
      <c r="Z3" s="578"/>
      <c r="AA3" s="615" t="s">
        <v>512</v>
      </c>
      <c r="AB3" s="615"/>
      <c r="AC3" s="615"/>
      <c r="AD3" s="541" t="s">
        <v>513</v>
      </c>
      <c r="AE3" s="541" t="s">
        <v>514</v>
      </c>
    </row>
    <row r="4" spans="1:31" ht="18">
      <c r="A4" s="221"/>
      <c r="B4" s="173">
        <f>Grig1!B5</f>
        <v>2012</v>
      </c>
      <c r="C4" s="222">
        <f>Grig1!C5</f>
        <v>2011</v>
      </c>
      <c r="D4" s="223" t="s">
        <v>9</v>
      </c>
      <c r="E4" s="176">
        <f>B4</f>
        <v>2012</v>
      </c>
      <c r="F4" s="173">
        <f>C4</f>
        <v>2011</v>
      </c>
      <c r="G4" s="223" t="s">
        <v>9</v>
      </c>
      <c r="H4" s="176">
        <f>B4</f>
        <v>2012</v>
      </c>
      <c r="I4" s="173">
        <f>C4</f>
        <v>2011</v>
      </c>
      <c r="J4" s="223" t="s">
        <v>9</v>
      </c>
      <c r="K4" s="176">
        <f>B4</f>
        <v>2012</v>
      </c>
      <c r="L4" s="173">
        <f>C4</f>
        <v>2011</v>
      </c>
      <c r="M4" s="223" t="s">
        <v>9</v>
      </c>
      <c r="N4" s="176">
        <f>B4</f>
        <v>2012</v>
      </c>
      <c r="O4" s="173">
        <f>C4</f>
        <v>2011</v>
      </c>
      <c r="P4" s="223" t="s">
        <v>9</v>
      </c>
      <c r="Q4" s="176">
        <f>B4</f>
        <v>2012</v>
      </c>
      <c r="R4" s="173">
        <f>C4</f>
        <v>2011</v>
      </c>
      <c r="S4" s="223" t="s">
        <v>9</v>
      </c>
      <c r="T4" s="224">
        <v>2012</v>
      </c>
      <c r="U4" s="225">
        <v>2011</v>
      </c>
      <c r="V4" s="542" t="s">
        <v>9</v>
      </c>
      <c r="W4" s="200">
        <v>2012</v>
      </c>
      <c r="X4" s="543">
        <v>2012</v>
      </c>
      <c r="Y4" s="205">
        <v>2011</v>
      </c>
      <c r="Z4" s="544" t="s">
        <v>9</v>
      </c>
      <c r="AA4" s="204">
        <v>2012</v>
      </c>
      <c r="AB4" s="205">
        <v>2011</v>
      </c>
      <c r="AC4" s="545" t="s">
        <v>9</v>
      </c>
      <c r="AD4" s="200">
        <v>2012</v>
      </c>
      <c r="AE4" s="200">
        <v>2012</v>
      </c>
    </row>
    <row r="5" spans="1:31" ht="18.75">
      <c r="A5" s="178" t="str">
        <f>Grig1!A$10</f>
        <v>Алатырский</v>
      </c>
      <c r="B5" s="179">
        <f>VLOOKUP($A5,Grig1!$A$6:$P$58,2,0)</f>
        <v>52</v>
      </c>
      <c r="C5" s="180">
        <f>VLOOKUP($A5,Grig1!$A$6:$P$58,3,0)</f>
        <v>76</v>
      </c>
      <c r="D5" s="181">
        <f aca="true" t="shared" si="0" ref="D5:D31">IF(C5=0,"--",(((B5*100)/C5)-100)/100)</f>
        <v>-0.31578947368421056</v>
      </c>
      <c r="E5" s="182">
        <f>VLOOKUP($A5,Grig1!$A$6:$P$58,5,0)</f>
        <v>4906357</v>
      </c>
      <c r="F5" s="183">
        <f>VLOOKUP($A5,Grig1!$A$6:$P$58,6,0)</f>
        <v>4388550</v>
      </c>
      <c r="G5" s="181">
        <f aca="true" t="shared" si="1" ref="G5:G31">IF(F5=0,"--",(((E5*100)/F5)-100)/100)</f>
        <v>0.1179904524273394</v>
      </c>
      <c r="H5" s="184">
        <f>B5/VLOOKUP($A5,Население!$A$1:$B$27,2,0)*100000</f>
        <v>95.98168964689813</v>
      </c>
      <c r="I5" s="185">
        <f>C5/VLOOKUP($A5,Население!$A$1:$B$27,2,0)*100000</f>
        <v>140.28093102238958</v>
      </c>
      <c r="J5" s="181">
        <f aca="true" t="shared" si="2" ref="J5:J31">IF(I5=0,"--",(((H5*100)/I5)-100)/100)</f>
        <v>-0.31578947368421056</v>
      </c>
      <c r="K5" s="182">
        <f>E5/B5</f>
        <v>94353.01923076923</v>
      </c>
      <c r="L5" s="183">
        <f>F5/C5</f>
        <v>57744.07894736842</v>
      </c>
      <c r="M5" s="181">
        <f aca="true" t="shared" si="3" ref="M5:M31">IF(L5=0,"--",(((K5*100)/L5)-100)/100)</f>
        <v>0.6339860458553424</v>
      </c>
      <c r="N5" s="184">
        <f>E5/VLOOKUP($A5,Население!$A$1:$B$27,2,0)</f>
        <v>90.56162209055503</v>
      </c>
      <c r="O5" s="185">
        <f>F5/VLOOKUP($A5,Население!$A$1:$B$27,2,0)</f>
        <v>81.00393155767208</v>
      </c>
      <c r="P5" s="181">
        <f aca="true" t="shared" si="4" ref="P5:P31">IF(O5=0,"--",(((N5*100)/O5)-100)/100)</f>
        <v>0.11799045242733924</v>
      </c>
      <c r="Q5" s="179">
        <f>VLOOKUP($A5,Grig1!$A$6:$P$58,8,0)</f>
        <v>8</v>
      </c>
      <c r="R5" s="180">
        <f>VLOOKUP($A5,Grig1!$A$6:$P$58,9,0)</f>
        <v>6</v>
      </c>
      <c r="S5" s="181">
        <f aca="true" t="shared" si="5" ref="S5:S31">IF(R5=0,"--",(((Q5*100)/R5)-100)/100)</f>
        <v>0.3333333333333334</v>
      </c>
      <c r="T5" s="184">
        <f>Q5/VLOOKUP($A5,Население!$A$1:$B$27,2,0)*100000</f>
        <v>14.76641379183048</v>
      </c>
      <c r="U5" s="185">
        <f>R5/VLOOKUP($A5,Население!$A$1:$B$27,2,0)*100000</f>
        <v>11.074810343872862</v>
      </c>
      <c r="V5" s="546">
        <f>IF(U5=0,"--",(((T5*100)/U5)-100)/100)</f>
        <v>0.33333333333333315</v>
      </c>
      <c r="W5" s="547">
        <f>T5/T31</f>
        <v>2.0015103473237077</v>
      </c>
      <c r="X5" s="200">
        <f>VLOOKUP($A5,Grig1!$A$6:$P$58,11,0)</f>
        <v>6</v>
      </c>
      <c r="Y5" s="200">
        <f>VLOOKUP($A5,Grig1!$A$6:$P$58,12,0)</f>
        <v>3</v>
      </c>
      <c r="Z5" s="548">
        <f aca="true" t="shared" si="6" ref="Z5:Z31">IF(Y5=0,"--",(((X5*100)/Y5)-100)/100)</f>
        <v>1</v>
      </c>
      <c r="AA5" s="196">
        <f>X5/VLOOKUP($A5,Население!$A$1:$B$27,2,0)*100000</f>
        <v>11.074810343872862</v>
      </c>
      <c r="AB5" s="196">
        <f>Y5/VLOOKUP($A5,Население!$A$1:$B$27,2,0)*100000</f>
        <v>5.537405171936431</v>
      </c>
      <c r="AC5" s="549">
        <f aca="true" t="shared" si="7" ref="AC5:AC31">IF(AB5=0,"--",(((AA5*100)/AB5)-100)/100)</f>
        <v>1</v>
      </c>
      <c r="AD5" s="196">
        <f>AA5/AA31</f>
        <v>1.233073338976213</v>
      </c>
      <c r="AE5" s="196">
        <f>H5/H31</f>
        <v>1.154197866634115</v>
      </c>
    </row>
    <row r="6" spans="1:31" ht="18.75">
      <c r="A6" s="201" t="str">
        <f>Grig1!A$13</f>
        <v>Аликовский</v>
      </c>
      <c r="B6" s="190">
        <f>VLOOKUP($A6,Grig1!$A$6:$P$58,2,0)</f>
        <v>23</v>
      </c>
      <c r="C6" s="200">
        <f>VLOOKUP($A6,Grig1!$A$6:$P$58,3,0)</f>
        <v>23</v>
      </c>
      <c r="D6" s="192">
        <f t="shared" si="0"/>
        <v>0</v>
      </c>
      <c r="E6" s="193">
        <f>VLOOKUP($A6,Grig1!$A$6:$P$58,5,0)</f>
        <v>662500</v>
      </c>
      <c r="F6" s="194">
        <f>VLOOKUP($A6,Grig1!$A$6:$P$58,6,0)</f>
        <v>2349782</v>
      </c>
      <c r="G6" s="192">
        <f t="shared" si="1"/>
        <v>-0.7180589518517038</v>
      </c>
      <c r="H6" s="195">
        <f>B6/VLOOKUP($A6,Население!$A$1:$B$27,2,0)*100000</f>
        <v>130.28208904497563</v>
      </c>
      <c r="I6" s="196">
        <f>C6/VLOOKUP($A6,Население!$A$1:$B$27,2,0)*100000</f>
        <v>130.28208904497563</v>
      </c>
      <c r="J6" s="192">
        <f t="shared" si="2"/>
        <v>0</v>
      </c>
      <c r="K6" s="193">
        <f aca="true" t="shared" si="8" ref="K6:L31">E6/B6</f>
        <v>28804.347826086956</v>
      </c>
      <c r="L6" s="194">
        <f t="shared" si="8"/>
        <v>102164.43478260869</v>
      </c>
      <c r="M6" s="192">
        <f t="shared" si="3"/>
        <v>-0.7180589518517035</v>
      </c>
      <c r="N6" s="195">
        <f>E6/VLOOKUP($A6,Население!$A$1:$B$27,2,0)</f>
        <v>37.526906083607116</v>
      </c>
      <c r="O6" s="196">
        <f>F6/VLOOKUP($A6,Население!$A$1:$B$27,2,0)</f>
        <v>133.10195989577434</v>
      </c>
      <c r="P6" s="192">
        <f t="shared" si="4"/>
        <v>-0.7180589518517038</v>
      </c>
      <c r="Q6" s="190">
        <f>VLOOKUP($A6,Grig1!$A$6:$P$58,8,0)</f>
        <v>1</v>
      </c>
      <c r="R6" s="200">
        <f>VLOOKUP($A6,Grig1!$A$6:$P$58,9,0)</f>
        <v>5</v>
      </c>
      <c r="S6" s="192">
        <f t="shared" si="5"/>
        <v>-0.8</v>
      </c>
      <c r="T6" s="195">
        <f>Q6/VLOOKUP($A6,Население!$A$1:$B$27,2,0)*100000</f>
        <v>5.664438654129376</v>
      </c>
      <c r="U6" s="196">
        <f>R6/VLOOKUP($A6,Население!$A$1:$B$27,2,0)*100000</f>
        <v>28.32219327064688</v>
      </c>
      <c r="V6" s="550">
        <f aca="true" t="shared" si="9" ref="V6:V31">IF(U6=0,"--",(((T6*100)/U6)-100)/100)</f>
        <v>-0.8</v>
      </c>
      <c r="W6" s="551">
        <f>T6/T31</f>
        <v>0.7677851059742588</v>
      </c>
      <c r="X6" s="200">
        <f>VLOOKUP($A6,Grig1!$A$6:$P$58,11,0)</f>
        <v>1</v>
      </c>
      <c r="Y6" s="200">
        <f>VLOOKUP($A6,Grig1!$A$6:$P$58,12,0)</f>
        <v>5</v>
      </c>
      <c r="Z6" s="548">
        <f t="shared" si="6"/>
        <v>-0.8</v>
      </c>
      <c r="AA6" s="196">
        <f>X6/VLOOKUP($A6,Население!$A$1:$B$27,2,0)*100000</f>
        <v>5.664438654129376</v>
      </c>
      <c r="AB6" s="196">
        <f>Y6/VLOOKUP($A6,Население!$A$1:$B$27,2,0)*100000</f>
        <v>28.32219327064688</v>
      </c>
      <c r="AC6" s="549">
        <f t="shared" si="7"/>
        <v>-0.8</v>
      </c>
      <c r="AD6" s="196">
        <f>AA6/AA31</f>
        <v>0.6306806227645698</v>
      </c>
      <c r="AE6" s="196">
        <f>H6/H31</f>
        <v>1.5666666193264527</v>
      </c>
    </row>
    <row r="7" spans="1:31" ht="18.75">
      <c r="A7" s="201" t="str">
        <f>Grig1!A$15</f>
        <v>Батыревский</v>
      </c>
      <c r="B7" s="190">
        <f>VLOOKUP($A7,Grig1!$A$6:$P$58,2,0)</f>
        <v>38</v>
      </c>
      <c r="C7" s="200">
        <f>VLOOKUP($A7,Grig1!$A$6:$P$58,3,0)</f>
        <v>36</v>
      </c>
      <c r="D7" s="192">
        <f t="shared" si="0"/>
        <v>0.05555555555555557</v>
      </c>
      <c r="E7" s="193">
        <f>VLOOKUP($A7,Grig1!$A$6:$P$58,5,0)</f>
        <v>1339820</v>
      </c>
      <c r="F7" s="194">
        <f>VLOOKUP($A7,Grig1!$A$6:$P$58,6,0)</f>
        <v>1882588</v>
      </c>
      <c r="G7" s="192">
        <f t="shared" si="1"/>
        <v>-0.2883094973515182</v>
      </c>
      <c r="H7" s="195">
        <f>B7/VLOOKUP($A7,Население!$A$1:$B$27,2,0)*100000</f>
        <v>100.72361968881704</v>
      </c>
      <c r="I7" s="196">
        <f>C7/VLOOKUP($A7,Население!$A$1:$B$27,2,0)*100000</f>
        <v>95.42237654730033</v>
      </c>
      <c r="J7" s="192">
        <f t="shared" si="2"/>
        <v>0.05555555555555571</v>
      </c>
      <c r="K7" s="193">
        <f t="shared" si="8"/>
        <v>35258.42105263158</v>
      </c>
      <c r="L7" s="194">
        <f t="shared" si="8"/>
        <v>52294.11111111111</v>
      </c>
      <c r="M7" s="192">
        <f t="shared" si="3"/>
        <v>-0.325766892227754</v>
      </c>
      <c r="N7" s="195">
        <f>E7/VLOOKUP($A7,Население!$A$1:$B$27,2,0)</f>
        <v>35.51355792933443</v>
      </c>
      <c r="O7" s="196">
        <f>F7/VLOOKUP($A7,Население!$A$1:$B$27,2,0)</f>
        <v>49.90028361650807</v>
      </c>
      <c r="P7" s="192">
        <f t="shared" si="4"/>
        <v>-0.28830949735151806</v>
      </c>
      <c r="Q7" s="190">
        <f>VLOOKUP($A7,Grig1!$A$6:$P$58,8,0)</f>
        <v>1</v>
      </c>
      <c r="R7" s="200">
        <f>VLOOKUP($A7,Grig1!$A$6:$P$58,9,0)</f>
        <v>0</v>
      </c>
      <c r="S7" s="192" t="str">
        <f t="shared" si="5"/>
        <v>--</v>
      </c>
      <c r="T7" s="195">
        <f>Q7/VLOOKUP($A7,Население!$A$1:$B$27,2,0)*100000</f>
        <v>2.650621570758343</v>
      </c>
      <c r="U7" s="196">
        <f>R7/VLOOKUP($A7,Население!$A$1:$B$27,2,0)*100000</f>
        <v>0</v>
      </c>
      <c r="V7" s="550" t="str">
        <f t="shared" si="9"/>
        <v>--</v>
      </c>
      <c r="W7" s="551">
        <f>T7/T31</f>
        <v>0.35927792458635893</v>
      </c>
      <c r="X7" s="200">
        <f>VLOOKUP($A7,Grig1!$A$6:$P$58,11,0)</f>
        <v>2</v>
      </c>
      <c r="Y7" s="200">
        <f>VLOOKUP($A7,Grig1!$A$6:$P$58,12,0)</f>
        <v>0</v>
      </c>
      <c r="Z7" s="548" t="str">
        <f t="shared" si="6"/>
        <v>--</v>
      </c>
      <c r="AA7" s="196">
        <f>X7/VLOOKUP($A7,Население!$A$1:$B$27,2,0)*100000</f>
        <v>5.301243141516686</v>
      </c>
      <c r="AB7" s="196">
        <f>Y7/VLOOKUP($A7,Население!$A$1:$B$27,2,0)*100000</f>
        <v>0</v>
      </c>
      <c r="AC7" s="549" t="str">
        <f t="shared" si="7"/>
        <v>--</v>
      </c>
      <c r="AD7" s="196">
        <f>AA7/AA31</f>
        <v>0.5902423046775899</v>
      </c>
      <c r="AE7" s="196">
        <f>H7/H31</f>
        <v>1.2112204670722382</v>
      </c>
    </row>
    <row r="8" spans="1:31" ht="18.75">
      <c r="A8" s="201" t="str">
        <f>Grig1!A$17</f>
        <v>Вурнарский</v>
      </c>
      <c r="B8" s="190">
        <f>VLOOKUP($A8,Grig1!$A$6:$P$58,2,0)</f>
        <v>50</v>
      </c>
      <c r="C8" s="200">
        <f>VLOOKUP($A8,Grig1!$A$6:$P$58,3,0)</f>
        <v>53</v>
      </c>
      <c r="D8" s="192">
        <f t="shared" si="0"/>
        <v>-0.05660377358490564</v>
      </c>
      <c r="E8" s="193">
        <f>VLOOKUP($A8,Grig1!$A$6:$P$58,5,0)</f>
        <v>2341227</v>
      </c>
      <c r="F8" s="194">
        <f>VLOOKUP($A8,Grig1!$A$6:$P$58,6,0)</f>
        <v>3482390</v>
      </c>
      <c r="G8" s="192">
        <f t="shared" si="1"/>
        <v>-0.3276953471610015</v>
      </c>
      <c r="H8" s="195">
        <f>B8/VLOOKUP($A8,Население!$A$1:$B$27,2,0)*100000</f>
        <v>143.82694741686802</v>
      </c>
      <c r="I8" s="196">
        <f>C8/VLOOKUP($A8,Население!$A$1:$B$27,2,0)*100000</f>
        <v>152.45656426188012</v>
      </c>
      <c r="J8" s="192">
        <f t="shared" si="2"/>
        <v>-0.05660377358490578</v>
      </c>
      <c r="K8" s="193">
        <f t="shared" si="8"/>
        <v>46824.54</v>
      </c>
      <c r="L8" s="194">
        <f t="shared" si="8"/>
        <v>65705.47169811321</v>
      </c>
      <c r="M8" s="192">
        <f t="shared" si="3"/>
        <v>-0.28735706799066163</v>
      </c>
      <c r="N8" s="195">
        <f>E8/VLOOKUP($A8,Население!$A$1:$B$27,2,0)</f>
        <v>67.34630652399034</v>
      </c>
      <c r="O8" s="196">
        <f>F8/VLOOKUP($A8,Население!$A$1:$B$27,2,0)</f>
        <v>100.17230468300541</v>
      </c>
      <c r="P8" s="192">
        <f t="shared" si="4"/>
        <v>-0.3276953471610015</v>
      </c>
      <c r="Q8" s="190">
        <f>VLOOKUP($A8,Grig1!$A$6:$P$58,8,0)</f>
        <v>2</v>
      </c>
      <c r="R8" s="200">
        <f>VLOOKUP($A8,Grig1!$A$6:$P$58,9,0)</f>
        <v>4</v>
      </c>
      <c r="S8" s="192">
        <f t="shared" si="5"/>
        <v>-0.5</v>
      </c>
      <c r="T8" s="195">
        <f>Q8/VLOOKUP($A8,Население!$A$1:$B$27,2,0)*100000</f>
        <v>5.753077896674721</v>
      </c>
      <c r="U8" s="196">
        <f>R8/VLOOKUP($A8,Население!$A$1:$B$27,2,0)*100000</f>
        <v>11.506155793349443</v>
      </c>
      <c r="V8" s="550">
        <f t="shared" si="9"/>
        <v>-0.5000000000000001</v>
      </c>
      <c r="W8" s="551">
        <f>T8/T31</f>
        <v>0.7797996928356671</v>
      </c>
      <c r="X8" s="200">
        <f>VLOOKUP($A8,Grig1!$A$6:$P$58,11,0)</f>
        <v>5</v>
      </c>
      <c r="Y8" s="200">
        <f>VLOOKUP($A8,Grig1!$A$6:$P$58,12,0)</f>
        <v>2</v>
      </c>
      <c r="Z8" s="548">
        <f t="shared" si="6"/>
        <v>1.5</v>
      </c>
      <c r="AA8" s="196">
        <f>X8/VLOOKUP($A8,Население!$A$1:$B$27,2,0)*100000</f>
        <v>14.382694741686802</v>
      </c>
      <c r="AB8" s="196">
        <f>Y8/VLOOKUP($A8,Население!$A$1:$B$27,2,0)*100000</f>
        <v>5.753077896674721</v>
      </c>
      <c r="AC8" s="549">
        <f t="shared" si="7"/>
        <v>1.4999999999999993</v>
      </c>
      <c r="AD8" s="196">
        <f>AA8/AA31</f>
        <v>1.601374369216102</v>
      </c>
      <c r="AE8" s="196">
        <f>H8/H31</f>
        <v>1.729546088256542</v>
      </c>
    </row>
    <row r="9" spans="1:31" ht="18.75">
      <c r="A9" s="201" t="str">
        <f>Grig1!A$19</f>
        <v>Ибресинский</v>
      </c>
      <c r="B9" s="190">
        <f>VLOOKUP($A9,Grig1!$A$6:$P$58,2,0)</f>
        <v>34</v>
      </c>
      <c r="C9" s="200">
        <f>VLOOKUP($A9,Grig1!$A$6:$P$58,3,0)</f>
        <v>33</v>
      </c>
      <c r="D9" s="192">
        <f t="shared" si="0"/>
        <v>0.03030303030303031</v>
      </c>
      <c r="E9" s="193">
        <f>VLOOKUP($A9,Grig1!$A$6:$P$58,5,0)</f>
        <v>4619076</v>
      </c>
      <c r="F9" s="194">
        <f>VLOOKUP($A9,Grig1!$A$6:$P$58,6,0)</f>
        <v>2922500</v>
      </c>
      <c r="G9" s="192">
        <f t="shared" si="1"/>
        <v>0.5805221556886226</v>
      </c>
      <c r="H9" s="195">
        <f>B9/VLOOKUP($A9,Население!$A$1:$B$27,2,0)*100000</f>
        <v>133.64779874213835</v>
      </c>
      <c r="I9" s="196">
        <f>C9/VLOOKUP($A9,Население!$A$1:$B$27,2,0)*100000</f>
        <v>129.71698113207546</v>
      </c>
      <c r="J9" s="192">
        <f t="shared" si="2"/>
        <v>0.03030303030303031</v>
      </c>
      <c r="K9" s="193">
        <f t="shared" si="8"/>
        <v>135855.17647058822</v>
      </c>
      <c r="L9" s="194">
        <f t="shared" si="8"/>
        <v>88560.60606060606</v>
      </c>
      <c r="M9" s="192">
        <f t="shared" si="3"/>
        <v>0.5340362099330747</v>
      </c>
      <c r="N9" s="195">
        <f>E9/VLOOKUP($A9,Население!$A$1:$B$27,2,0)</f>
        <v>181.56745283018867</v>
      </c>
      <c r="O9" s="196">
        <f>F9/VLOOKUP($A9,Население!$A$1:$B$27,2,0)</f>
        <v>114.87814465408805</v>
      </c>
      <c r="P9" s="192">
        <f t="shared" si="4"/>
        <v>0.5805221556886226</v>
      </c>
      <c r="Q9" s="190">
        <f>VLOOKUP($A9,Grig1!$A$6:$P$58,8,0)</f>
        <v>1</v>
      </c>
      <c r="R9" s="200">
        <f>VLOOKUP($A9,Grig1!$A$6:$P$58,9,0)</f>
        <v>2</v>
      </c>
      <c r="S9" s="192">
        <f t="shared" si="5"/>
        <v>-0.5</v>
      </c>
      <c r="T9" s="195">
        <f>Q9/VLOOKUP($A9,Население!$A$1:$B$27,2,0)*100000</f>
        <v>3.930817610062893</v>
      </c>
      <c r="U9" s="196">
        <f>R9/VLOOKUP($A9,Население!$A$1:$B$27,2,0)*100000</f>
        <v>7.861635220125786</v>
      </c>
      <c r="V9" s="550">
        <f t="shared" si="9"/>
        <v>-0.5</v>
      </c>
      <c r="W9" s="551">
        <f>T9/T31</f>
        <v>0.5328018184304073</v>
      </c>
      <c r="X9" s="200">
        <f>VLOOKUP($A9,Grig1!$A$6:$P$58,11,0)</f>
        <v>2</v>
      </c>
      <c r="Y9" s="200">
        <f>VLOOKUP($A9,Grig1!$A$6:$P$58,12,0)</f>
        <v>2</v>
      </c>
      <c r="Z9" s="548">
        <f t="shared" si="6"/>
        <v>0</v>
      </c>
      <c r="AA9" s="196">
        <f>X9/VLOOKUP($A9,Население!$A$1:$B$27,2,0)*100000</f>
        <v>7.861635220125786</v>
      </c>
      <c r="AB9" s="196">
        <f>Y9/VLOOKUP($A9,Население!$A$1:$B$27,2,0)*100000</f>
        <v>7.861635220125786</v>
      </c>
      <c r="AC9" s="549">
        <f t="shared" si="7"/>
        <v>0</v>
      </c>
      <c r="AD9" s="196">
        <f>AA9/AA31</f>
        <v>0.8753172731356694</v>
      </c>
      <c r="AE9" s="196">
        <f>H9/H31</f>
        <v>1.607139911331065</v>
      </c>
    </row>
    <row r="10" spans="1:31" ht="18.75">
      <c r="A10" s="201" t="str">
        <f>Grig1!A$22</f>
        <v>Канашский</v>
      </c>
      <c r="B10" s="190">
        <f>VLOOKUP($A10,Grig1!$A$6:$P$58,2,0)</f>
        <v>80</v>
      </c>
      <c r="C10" s="200">
        <f>VLOOKUP($A10,Grig1!$A$6:$P$58,3,0)</f>
        <v>74</v>
      </c>
      <c r="D10" s="192">
        <f t="shared" si="0"/>
        <v>0.08108108108108113</v>
      </c>
      <c r="E10" s="193">
        <f>VLOOKUP($A10,Grig1!$A$6:$P$58,5,0)</f>
        <v>5282250</v>
      </c>
      <c r="F10" s="194">
        <f>VLOOKUP($A10,Grig1!$A$6:$P$58,6,0)</f>
        <v>3651500</v>
      </c>
      <c r="G10" s="192">
        <f t="shared" si="1"/>
        <v>0.44659728878543065</v>
      </c>
      <c r="H10" s="195">
        <f>B10/VLOOKUP($A10,Население!$A$1:$B$27,2,0)*100000</f>
        <v>94.71490812653913</v>
      </c>
      <c r="I10" s="196">
        <f>C10/VLOOKUP($A10,Население!$A$1:$B$27,2,0)*100000</f>
        <v>87.61129001704869</v>
      </c>
      <c r="J10" s="192">
        <f t="shared" si="2"/>
        <v>0.08108108108108113</v>
      </c>
      <c r="K10" s="193">
        <f t="shared" si="8"/>
        <v>66028.125</v>
      </c>
      <c r="L10" s="194">
        <f t="shared" si="8"/>
        <v>49344.59459459459</v>
      </c>
      <c r="M10" s="192">
        <f t="shared" si="3"/>
        <v>0.3381024921265234</v>
      </c>
      <c r="N10" s="195">
        <f>E10/VLOOKUP($A10,Население!$A$1:$B$27,2,0)</f>
        <v>62.53847793142641</v>
      </c>
      <c r="O10" s="196">
        <f>F10/VLOOKUP($A10,Население!$A$1:$B$27,2,0)</f>
        <v>43.2314358780072</v>
      </c>
      <c r="P10" s="192">
        <f t="shared" si="4"/>
        <v>0.44659728878543065</v>
      </c>
      <c r="Q10" s="190">
        <f>VLOOKUP($A10,Grig1!$A$6:$P$58,8,0)</f>
        <v>13</v>
      </c>
      <c r="R10" s="200">
        <f>VLOOKUP($A10,Grig1!$A$6:$P$58,9,0)</f>
        <v>9</v>
      </c>
      <c r="S10" s="192">
        <f t="shared" si="5"/>
        <v>0.4444444444444446</v>
      </c>
      <c r="T10" s="195">
        <f>Q10/VLOOKUP($A10,Население!$A$1:$B$27,2,0)*100000</f>
        <v>15.391172570562606</v>
      </c>
      <c r="U10" s="196">
        <f>R10/VLOOKUP($A10,Население!$A$1:$B$27,2,0)*100000</f>
        <v>10.655427164235652</v>
      </c>
      <c r="V10" s="550">
        <f t="shared" si="9"/>
        <v>0.444444444444444</v>
      </c>
      <c r="W10" s="551">
        <f>T10/T31</f>
        <v>2.0861931401698275</v>
      </c>
      <c r="X10" s="200">
        <f>VLOOKUP($A10,Grig1!$A$6:$P$58,11,0)</f>
        <v>9</v>
      </c>
      <c r="Y10" s="200">
        <f>VLOOKUP($A10,Grig1!$A$6:$P$58,12,0)</f>
        <v>3</v>
      </c>
      <c r="Z10" s="548">
        <f t="shared" si="6"/>
        <v>2</v>
      </c>
      <c r="AA10" s="196">
        <f>X10/VLOOKUP($A10,Население!$A$1:$B$27,2,0)*100000</f>
        <v>10.655427164235652</v>
      </c>
      <c r="AB10" s="196">
        <f>Y10/VLOOKUP($A10,Население!$A$1:$B$27,2,0)*100000</f>
        <v>3.551809054745217</v>
      </c>
      <c r="AC10" s="549">
        <f t="shared" si="7"/>
        <v>2.0000000000000004</v>
      </c>
      <c r="AD10" s="196">
        <f>AA10/AA31</f>
        <v>1.1863790659756992</v>
      </c>
      <c r="AE10" s="196">
        <f>H10/H31</f>
        <v>1.1389645806431226</v>
      </c>
    </row>
    <row r="11" spans="1:31" ht="18.75">
      <c r="A11" s="201" t="str">
        <f>Grig1!A$24</f>
        <v>Козловский</v>
      </c>
      <c r="B11" s="190">
        <f>VLOOKUP($A11,Grig1!$A$6:$P$58,2,0)</f>
        <v>28</v>
      </c>
      <c r="C11" s="200">
        <f>VLOOKUP($A11,Grig1!$A$6:$P$58,3,0)</f>
        <v>29</v>
      </c>
      <c r="D11" s="192">
        <f t="shared" si="0"/>
        <v>-0.03448275862068968</v>
      </c>
      <c r="E11" s="193">
        <f>VLOOKUP($A11,Grig1!$A$6:$P$58,5,0)</f>
        <v>6549623</v>
      </c>
      <c r="F11" s="194">
        <f>VLOOKUP($A11,Grig1!$A$6:$P$58,6,0)</f>
        <v>1344000</v>
      </c>
      <c r="G11" s="192">
        <f t="shared" si="1"/>
        <v>3.873231398809524</v>
      </c>
      <c r="H11" s="195">
        <f>B11/VLOOKUP($A11,Население!$A$1:$B$27,2,0)*100000</f>
        <v>132.12533031332578</v>
      </c>
      <c r="I11" s="196">
        <f>C11/VLOOKUP($A11,Население!$A$1:$B$27,2,0)*100000</f>
        <v>136.8440921102303</v>
      </c>
      <c r="J11" s="192">
        <f t="shared" si="2"/>
        <v>-0.03448275862068982</v>
      </c>
      <c r="K11" s="193">
        <f t="shared" si="8"/>
        <v>233915.10714285713</v>
      </c>
      <c r="L11" s="194">
        <f t="shared" si="8"/>
        <v>46344.8275862069</v>
      </c>
      <c r="M11" s="192">
        <f t="shared" si="3"/>
        <v>4.047275377338434</v>
      </c>
      <c r="N11" s="195">
        <f>E11/VLOOKUP($A11,Население!$A$1:$B$27,2,0)</f>
        <v>309.0611079652699</v>
      </c>
      <c r="O11" s="196">
        <f>F11/VLOOKUP($A11,Население!$A$1:$B$27,2,0)</f>
        <v>63.42015855039637</v>
      </c>
      <c r="P11" s="192">
        <f t="shared" si="4"/>
        <v>3.873231398809524</v>
      </c>
      <c r="Q11" s="190">
        <f>VLOOKUP($A11,Grig1!$A$6:$P$58,8,0)</f>
        <v>1</v>
      </c>
      <c r="R11" s="200">
        <f>VLOOKUP($A11,Grig1!$A$6:$P$58,9,0)</f>
        <v>2</v>
      </c>
      <c r="S11" s="192">
        <f t="shared" si="5"/>
        <v>-0.5</v>
      </c>
      <c r="T11" s="195">
        <f>Q11/VLOOKUP($A11,Население!$A$1:$B$27,2,0)*100000</f>
        <v>4.718761796904492</v>
      </c>
      <c r="U11" s="196">
        <f>R11/VLOOKUP($A11,Население!$A$1:$B$27,2,0)*100000</f>
        <v>9.437523593808985</v>
      </c>
      <c r="V11" s="550">
        <f t="shared" si="9"/>
        <v>-0.5</v>
      </c>
      <c r="W11" s="551">
        <f>T11/T31</f>
        <v>0.6396035419436374</v>
      </c>
      <c r="X11" s="200">
        <f>VLOOKUP($A11,Grig1!$A$6:$P$58,11,0)</f>
        <v>1</v>
      </c>
      <c r="Y11" s="200">
        <f>VLOOKUP($A11,Grig1!$A$6:$P$58,12,0)</f>
        <v>0</v>
      </c>
      <c r="Z11" s="548" t="str">
        <f t="shared" si="6"/>
        <v>--</v>
      </c>
      <c r="AA11" s="196">
        <f>X11/VLOOKUP($A11,Население!$A$1:$B$27,2,0)*100000</f>
        <v>4.718761796904492</v>
      </c>
      <c r="AB11" s="196">
        <f>Y11/VLOOKUP($A11,Население!$A$1:$B$27,2,0)*100000</f>
        <v>0</v>
      </c>
      <c r="AC11" s="549" t="str">
        <f t="shared" si="7"/>
        <v>--</v>
      </c>
      <c r="AD11" s="196">
        <f>AA11/AA31</f>
        <v>0.5253886237394165</v>
      </c>
      <c r="AE11" s="196">
        <f>H11/H31</f>
        <v>1.5888319421859305</v>
      </c>
    </row>
    <row r="12" spans="1:31" ht="18.75">
      <c r="A12" s="201" t="str">
        <f>Grig1!A$26</f>
        <v>Комсомольский</v>
      </c>
      <c r="B12" s="190">
        <f>VLOOKUP($A12,Grig1!$A$6:$P$58,2,0)</f>
        <v>20</v>
      </c>
      <c r="C12" s="200">
        <f>VLOOKUP($A12,Grig1!$A$6:$P$58,3,0)</f>
        <v>25</v>
      </c>
      <c r="D12" s="192">
        <f t="shared" si="0"/>
        <v>-0.2</v>
      </c>
      <c r="E12" s="193">
        <f>VLOOKUP($A12,Grig1!$A$6:$P$58,5,0)</f>
        <v>1363500</v>
      </c>
      <c r="F12" s="194">
        <f>VLOOKUP($A12,Grig1!$A$6:$P$58,6,0)</f>
        <v>705651</v>
      </c>
      <c r="G12" s="192">
        <f t="shared" si="1"/>
        <v>0.9322582976570569</v>
      </c>
      <c r="H12" s="195">
        <f>B12/VLOOKUP($A12,Население!$A$1:$B$27,2,0)*100000</f>
        <v>75.12301393531908</v>
      </c>
      <c r="I12" s="196">
        <f>C12/VLOOKUP($A12,Население!$A$1:$B$27,2,0)*100000</f>
        <v>93.90376741914885</v>
      </c>
      <c r="J12" s="192">
        <f t="shared" si="2"/>
        <v>-0.2</v>
      </c>
      <c r="K12" s="193">
        <f t="shared" si="8"/>
        <v>68175</v>
      </c>
      <c r="L12" s="194">
        <f t="shared" si="8"/>
        <v>28226.04</v>
      </c>
      <c r="M12" s="192">
        <f t="shared" si="3"/>
        <v>1.4153228720713213</v>
      </c>
      <c r="N12" s="195">
        <f>E12/VLOOKUP($A12,Население!$A$1:$B$27,2,0)</f>
        <v>51.215114750403785</v>
      </c>
      <c r="O12" s="196">
        <f>F12/VLOOKUP($A12,Население!$A$1:$B$27,2,0)</f>
        <v>26.505314953235924</v>
      </c>
      <c r="P12" s="192">
        <f t="shared" si="4"/>
        <v>0.9322582976570569</v>
      </c>
      <c r="Q12" s="190">
        <f>VLOOKUP($A12,Grig1!$A$6:$P$58,8,0)</f>
        <v>1</v>
      </c>
      <c r="R12" s="200">
        <f>VLOOKUP($A12,Grig1!$A$6:$P$58,9,0)</f>
        <v>5</v>
      </c>
      <c r="S12" s="192">
        <f t="shared" si="5"/>
        <v>-0.8</v>
      </c>
      <c r="T12" s="195">
        <f>Q12/VLOOKUP($A12,Население!$A$1:$B$27,2,0)*100000</f>
        <v>3.7561506967659546</v>
      </c>
      <c r="U12" s="196">
        <f>R12/VLOOKUP($A12,Население!$A$1:$B$27,2,0)*100000</f>
        <v>18.78075348382977</v>
      </c>
      <c r="V12" s="550">
        <f t="shared" si="9"/>
        <v>-0.8</v>
      </c>
      <c r="W12" s="551">
        <f>T12/T31</f>
        <v>0.509126629638642</v>
      </c>
      <c r="X12" s="200">
        <f>VLOOKUP($A12,Grig1!$A$6:$P$58,11,0)</f>
        <v>0</v>
      </c>
      <c r="Y12" s="200">
        <f>VLOOKUP($A12,Grig1!$A$6:$P$58,12,0)</f>
        <v>0</v>
      </c>
      <c r="Z12" s="548" t="str">
        <f t="shared" si="6"/>
        <v>--</v>
      </c>
      <c r="AA12" s="196">
        <f>X12/VLOOKUP($A12,Население!$A$1:$B$27,2,0)*100000</f>
        <v>0</v>
      </c>
      <c r="AB12" s="196">
        <f>Y12/VLOOKUP($A12,Население!$A$1:$B$27,2,0)*100000</f>
        <v>0</v>
      </c>
      <c r="AC12" s="549" t="str">
        <f t="shared" si="7"/>
        <v>--</v>
      </c>
      <c r="AD12" s="196">
        <f>AA12/AA31</f>
        <v>0</v>
      </c>
      <c r="AE12" s="196">
        <f>H12/H31</f>
        <v>0.9033683688863078</v>
      </c>
    </row>
    <row r="13" spans="1:31" ht="18.75">
      <c r="A13" s="201" t="str">
        <f>Grig1!A$28</f>
        <v>Красноармейский</v>
      </c>
      <c r="B13" s="190">
        <f>VLOOKUP($A13,Grig1!$A$6:$P$58,2,0)</f>
        <v>15</v>
      </c>
      <c r="C13" s="200">
        <f>VLOOKUP($A13,Grig1!$A$6:$P$58,3,0)</f>
        <v>26</v>
      </c>
      <c r="D13" s="192">
        <f t="shared" si="0"/>
        <v>-0.4230769230769231</v>
      </c>
      <c r="E13" s="193">
        <f>VLOOKUP($A13,Grig1!$A$6:$P$58,5,0)</f>
        <v>638500</v>
      </c>
      <c r="F13" s="194">
        <f>VLOOKUP($A13,Grig1!$A$6:$P$58,6,0)</f>
        <v>1488804</v>
      </c>
      <c r="G13" s="192">
        <f t="shared" si="1"/>
        <v>-0.5711322645559792</v>
      </c>
      <c r="H13" s="195">
        <f>B13/VLOOKUP($A13,Население!$A$1:$B$27,2,0)*100000</f>
        <v>96.41342074816814</v>
      </c>
      <c r="I13" s="196">
        <f>C13/VLOOKUP($A13,Население!$A$1:$B$27,2,0)*100000</f>
        <v>167.11659596349145</v>
      </c>
      <c r="J13" s="192">
        <f t="shared" si="2"/>
        <v>-0.42307692307692313</v>
      </c>
      <c r="K13" s="193">
        <f t="shared" si="8"/>
        <v>42566.666666666664</v>
      </c>
      <c r="L13" s="194">
        <f t="shared" si="8"/>
        <v>57261.692307692305</v>
      </c>
      <c r="M13" s="192">
        <f t="shared" si="3"/>
        <v>-0.2566292585636972</v>
      </c>
      <c r="N13" s="195">
        <f>E13/VLOOKUP($A13,Население!$A$1:$B$27,2,0)</f>
        <v>41.03997943180357</v>
      </c>
      <c r="O13" s="196">
        <f>F13/VLOOKUP($A13,Население!$A$1:$B$27,2,0)</f>
        <v>95.69379097570382</v>
      </c>
      <c r="P13" s="192">
        <f t="shared" si="4"/>
        <v>-0.5711322645559791</v>
      </c>
      <c r="Q13" s="190">
        <f>VLOOKUP($A13,Grig1!$A$6:$P$58,8,0)</f>
        <v>1</v>
      </c>
      <c r="R13" s="200">
        <f>VLOOKUP($A13,Grig1!$A$6:$P$58,9,0)</f>
        <v>3</v>
      </c>
      <c r="S13" s="192">
        <f t="shared" si="5"/>
        <v>-0.6666666666666665</v>
      </c>
      <c r="T13" s="195">
        <f>Q13/VLOOKUP($A13,Население!$A$1:$B$27,2,0)*100000</f>
        <v>6.427561383211209</v>
      </c>
      <c r="U13" s="196">
        <f>R13/VLOOKUP($A13,Население!$A$1:$B$27,2,0)*100000</f>
        <v>19.282684149633628</v>
      </c>
      <c r="V13" s="550">
        <f t="shared" si="9"/>
        <v>-0.6666666666666665</v>
      </c>
      <c r="W13" s="551">
        <f>T13/T31</f>
        <v>0.8712224103914104</v>
      </c>
      <c r="X13" s="200">
        <f>VLOOKUP($A13,Grig1!$A$6:$P$58,11,0)</f>
        <v>1</v>
      </c>
      <c r="Y13" s="200">
        <f>VLOOKUP($A13,Grig1!$A$6:$P$58,12,0)</f>
        <v>1</v>
      </c>
      <c r="Z13" s="548">
        <f t="shared" si="6"/>
        <v>0</v>
      </c>
      <c r="AA13" s="196">
        <f>X13/VLOOKUP($A13,Население!$A$1:$B$27,2,0)*100000</f>
        <v>6.427561383211209</v>
      </c>
      <c r="AB13" s="196">
        <f>Y13/VLOOKUP($A13,Население!$A$1:$B$27,2,0)*100000</f>
        <v>6.427561383211209</v>
      </c>
      <c r="AC13" s="549">
        <f t="shared" si="7"/>
        <v>0</v>
      </c>
      <c r="AD13" s="196">
        <f>AA13/AA31</f>
        <v>0.715646979964373</v>
      </c>
      <c r="AE13" s="196">
        <f>H13/H31</f>
        <v>1.1593895143106523</v>
      </c>
    </row>
    <row r="14" spans="1:31" ht="18.75">
      <c r="A14" s="201" t="str">
        <f>Grig1!A$30</f>
        <v>Красночетайский</v>
      </c>
      <c r="B14" s="190">
        <f>VLOOKUP($A14,Grig1!$A$6:$P$58,2,0)</f>
        <v>38</v>
      </c>
      <c r="C14" s="200">
        <f>VLOOKUP($A14,Grig1!$A$6:$P$58,3,0)</f>
        <v>30</v>
      </c>
      <c r="D14" s="192">
        <f t="shared" si="0"/>
        <v>0.2666666666666667</v>
      </c>
      <c r="E14" s="193">
        <f>VLOOKUP($A14,Grig1!$A$6:$P$58,5,0)</f>
        <v>2475000</v>
      </c>
      <c r="F14" s="194">
        <f>VLOOKUP($A14,Grig1!$A$6:$P$58,6,0)</f>
        <v>1663500</v>
      </c>
      <c r="G14" s="192">
        <f t="shared" si="1"/>
        <v>0.48782687105500455</v>
      </c>
      <c r="H14" s="195">
        <f>B14/VLOOKUP($A14,Население!$A$1:$B$27,2,0)*100000</f>
        <v>229.78774868476748</v>
      </c>
      <c r="I14" s="196">
        <f>C14/VLOOKUP($A14,Население!$A$1:$B$27,2,0)*100000</f>
        <v>181.4113805406059</v>
      </c>
      <c r="J14" s="192">
        <f t="shared" si="2"/>
        <v>0.26666666666666655</v>
      </c>
      <c r="K14" s="193">
        <f t="shared" si="8"/>
        <v>65131.57894736842</v>
      </c>
      <c r="L14" s="194">
        <f t="shared" si="8"/>
        <v>55450</v>
      </c>
      <c r="M14" s="192">
        <f t="shared" si="3"/>
        <v>0.17460016135921408</v>
      </c>
      <c r="N14" s="195">
        <f>E14/VLOOKUP($A14,Население!$A$1:$B$27,2,0)</f>
        <v>149.6643889459999</v>
      </c>
      <c r="O14" s="196">
        <f>F14/VLOOKUP($A14,Население!$A$1:$B$27,2,0)</f>
        <v>100.59261050976598</v>
      </c>
      <c r="P14" s="192">
        <f t="shared" si="4"/>
        <v>0.48782687105500455</v>
      </c>
      <c r="Q14" s="190">
        <f>VLOOKUP($A14,Grig1!$A$6:$P$58,8,0)</f>
        <v>1</v>
      </c>
      <c r="R14" s="200">
        <f>VLOOKUP($A14,Grig1!$A$6:$P$58,9,0)</f>
        <v>7</v>
      </c>
      <c r="S14" s="192">
        <f t="shared" si="5"/>
        <v>-0.8571428571428571</v>
      </c>
      <c r="T14" s="195">
        <f>Q14/VLOOKUP($A14,Население!$A$1:$B$27,2,0)*100000</f>
        <v>6.047046018020197</v>
      </c>
      <c r="U14" s="196">
        <f>R14/VLOOKUP($A14,Население!$A$1:$B$27,2,0)*100000</f>
        <v>42.32932212614138</v>
      </c>
      <c r="V14" s="550">
        <f t="shared" si="9"/>
        <v>-0.8571428571428572</v>
      </c>
      <c r="W14" s="551">
        <f>T14/T31</f>
        <v>0.8196455379373262</v>
      </c>
      <c r="X14" s="200">
        <f>VLOOKUP($A14,Grig1!$A$6:$P$58,11,0)</f>
        <v>0</v>
      </c>
      <c r="Y14" s="200">
        <f>VLOOKUP($A14,Grig1!$A$6:$P$58,12,0)</f>
        <v>2</v>
      </c>
      <c r="Z14" s="548">
        <f t="shared" si="6"/>
        <v>-1</v>
      </c>
      <c r="AA14" s="196">
        <f>X14/VLOOKUP($A14,Население!$A$1:$B$27,2,0)*100000</f>
        <v>0</v>
      </c>
      <c r="AB14" s="196">
        <f>Y14/VLOOKUP($A14,Население!$A$1:$B$27,2,0)*100000</f>
        <v>12.094092036040394</v>
      </c>
      <c r="AC14" s="549">
        <f t="shared" si="7"/>
        <v>-1</v>
      </c>
      <c r="AD14" s="196">
        <f>AA14/AA31</f>
        <v>0</v>
      </c>
      <c r="AE14" s="196">
        <f>H14/H31</f>
        <v>2.7632408877809955</v>
      </c>
    </row>
    <row r="15" spans="1:31" ht="18.75">
      <c r="A15" s="201" t="str">
        <f>Grig1!A$32</f>
        <v>Марпосадский</v>
      </c>
      <c r="B15" s="190">
        <f>VLOOKUP($A15,Grig1!$A$6:$P$58,2,0)</f>
        <v>36</v>
      </c>
      <c r="C15" s="200">
        <f>VLOOKUP($A15,Grig1!$A$6:$P$58,3,0)</f>
        <v>38</v>
      </c>
      <c r="D15" s="192">
        <f t="shared" si="0"/>
        <v>-0.052631578947368356</v>
      </c>
      <c r="E15" s="193">
        <f>VLOOKUP($A15,Grig1!$A$6:$P$58,5,0)</f>
        <v>3066000</v>
      </c>
      <c r="F15" s="194">
        <f>VLOOKUP($A15,Grig1!$A$6:$P$58,6,0)</f>
        <v>2848400</v>
      </c>
      <c r="G15" s="192">
        <f t="shared" si="1"/>
        <v>0.07639376492065722</v>
      </c>
      <c r="H15" s="195">
        <f>B15/VLOOKUP($A15,Население!$A$1:$B$27,2,0)*100000</f>
        <v>151.53428463189798</v>
      </c>
      <c r="I15" s="196">
        <f>C15/VLOOKUP($A15,Население!$A$1:$B$27,2,0)*100000</f>
        <v>159.95285600033674</v>
      </c>
      <c r="J15" s="192">
        <f t="shared" si="2"/>
        <v>-0.052631578947368356</v>
      </c>
      <c r="K15" s="193">
        <f t="shared" si="8"/>
        <v>85166.66666666667</v>
      </c>
      <c r="L15" s="194">
        <f t="shared" si="8"/>
        <v>74957.8947368421</v>
      </c>
      <c r="M15" s="192">
        <f t="shared" si="3"/>
        <v>0.13619341852736055</v>
      </c>
      <c r="N15" s="195">
        <f>E15/VLOOKUP($A15,Население!$A$1:$B$27,2,0)</f>
        <v>129.05669907816645</v>
      </c>
      <c r="O15" s="196">
        <f>F15/VLOOKUP($A15,Население!$A$1:$B$27,2,0)</f>
        <v>119.89729342930505</v>
      </c>
      <c r="P15" s="192">
        <f t="shared" si="4"/>
        <v>0.07639376492065722</v>
      </c>
      <c r="Q15" s="190">
        <f>VLOOKUP($A15,Grig1!$A$6:$P$58,8,0)</f>
        <v>5</v>
      </c>
      <c r="R15" s="200">
        <f>VLOOKUP($A15,Grig1!$A$6:$P$58,9,0)</f>
        <v>4</v>
      </c>
      <c r="S15" s="192">
        <f t="shared" si="5"/>
        <v>0.25</v>
      </c>
      <c r="T15" s="195">
        <f>Q15/VLOOKUP($A15,Население!$A$1:$B$27,2,0)*100000</f>
        <v>21.04642842109694</v>
      </c>
      <c r="U15" s="196">
        <f>R15/VLOOKUP($A15,Население!$A$1:$B$27,2,0)*100000</f>
        <v>16.837142736877553</v>
      </c>
      <c r="V15" s="550">
        <f t="shared" si="9"/>
        <v>0.24999999999999986</v>
      </c>
      <c r="W15" s="551">
        <f>T15/T31</f>
        <v>2.852733565027058</v>
      </c>
      <c r="X15" s="200">
        <f>VLOOKUP($A15,Grig1!$A$6:$P$58,11,0)</f>
        <v>0</v>
      </c>
      <c r="Y15" s="200">
        <f>VLOOKUP($A15,Grig1!$A$6:$P$58,12,0)</f>
        <v>3</v>
      </c>
      <c r="Z15" s="548">
        <f t="shared" si="6"/>
        <v>-1</v>
      </c>
      <c r="AA15" s="196">
        <f>X15/VLOOKUP($A15,Население!$A$1:$B$27,2,0)*100000</f>
        <v>0</v>
      </c>
      <c r="AB15" s="196">
        <f>Y15/VLOOKUP($A15,Население!$A$1:$B$27,2,0)*100000</f>
        <v>12.627857052658165</v>
      </c>
      <c r="AC15" s="549">
        <f t="shared" si="7"/>
        <v>-1</v>
      </c>
      <c r="AD15" s="196">
        <f>AA15/AA31</f>
        <v>0</v>
      </c>
      <c r="AE15" s="196">
        <f>H15/H31</f>
        <v>1.8222282675736967</v>
      </c>
    </row>
    <row r="16" spans="1:31" ht="18.75">
      <c r="A16" s="201" t="str">
        <f>Grig1!A$34</f>
        <v>Моргаушский</v>
      </c>
      <c r="B16" s="190">
        <f>VLOOKUP($A16,Grig1!$A$6:$P$58,2,0)</f>
        <v>37</v>
      </c>
      <c r="C16" s="200">
        <f>VLOOKUP($A16,Grig1!$A$6:$P$58,3,0)</f>
        <v>34</v>
      </c>
      <c r="D16" s="192">
        <f t="shared" si="0"/>
        <v>0.0882352941176471</v>
      </c>
      <c r="E16" s="193">
        <f>VLOOKUP($A16,Grig1!$A$6:$P$58,5,0)</f>
        <v>1937300</v>
      </c>
      <c r="F16" s="194">
        <f>VLOOKUP($A16,Grig1!$A$6:$P$58,6,0)</f>
        <v>1674620</v>
      </c>
      <c r="G16" s="192">
        <f t="shared" si="1"/>
        <v>0.15685946662526418</v>
      </c>
      <c r="H16" s="195">
        <f>B16/VLOOKUP($A16,Население!$A$1:$B$27,2,0)*100000</f>
        <v>106.90860758762172</v>
      </c>
      <c r="I16" s="196">
        <f>C16/VLOOKUP($A16,Население!$A$1:$B$27,2,0)*100000</f>
        <v>98.24034210754427</v>
      </c>
      <c r="J16" s="192">
        <f t="shared" si="2"/>
        <v>0.08823529411764724</v>
      </c>
      <c r="K16" s="193">
        <f t="shared" si="8"/>
        <v>52359.45945945946</v>
      </c>
      <c r="L16" s="194">
        <f t="shared" si="8"/>
        <v>49253.529411764706</v>
      </c>
      <c r="M16" s="192">
        <f t="shared" si="3"/>
        <v>0.06306005041240483</v>
      </c>
      <c r="N16" s="195">
        <f>E16/VLOOKUP($A16,Население!$A$1:$B$27,2,0)</f>
        <v>55.97676904851339</v>
      </c>
      <c r="O16" s="196">
        <f>F16/VLOOKUP($A16,Население!$A$1:$B$27,2,0)</f>
        <v>48.38683579415759</v>
      </c>
      <c r="P16" s="192">
        <f t="shared" si="4"/>
        <v>0.15685946662526404</v>
      </c>
      <c r="Q16" s="190">
        <f>VLOOKUP($A16,Grig1!$A$6:$P$58,8,0)</f>
        <v>7</v>
      </c>
      <c r="R16" s="200">
        <f>VLOOKUP($A16,Grig1!$A$6:$P$58,9,0)</f>
        <v>5</v>
      </c>
      <c r="S16" s="192">
        <f t="shared" si="5"/>
        <v>0.4</v>
      </c>
      <c r="T16" s="195">
        <f>Q16/VLOOKUP($A16,Население!$A$1:$B$27,2,0)*100000</f>
        <v>20.225952786847355</v>
      </c>
      <c r="U16" s="196">
        <f>R16/VLOOKUP($A16,Население!$A$1:$B$27,2,0)*100000</f>
        <v>14.447109133462394</v>
      </c>
      <c r="V16" s="550">
        <f t="shared" si="9"/>
        <v>0.4</v>
      </c>
      <c r="W16" s="551">
        <f>T16/T31</f>
        <v>2.7415223735469665</v>
      </c>
      <c r="X16" s="200">
        <f>VLOOKUP($A16,Grig1!$A$6:$P$58,11,0)</f>
        <v>2</v>
      </c>
      <c r="Y16" s="200">
        <f>VLOOKUP($A16,Grig1!$A$6:$P$58,12,0)</f>
        <v>2</v>
      </c>
      <c r="Z16" s="548">
        <f t="shared" si="6"/>
        <v>0</v>
      </c>
      <c r="AA16" s="196">
        <f>X16/VLOOKUP($A16,Население!$A$1:$B$27,2,0)*100000</f>
        <v>5.778843653384958</v>
      </c>
      <c r="AB16" s="196">
        <f>Y16/VLOOKUP($A16,Население!$A$1:$B$27,2,0)*100000</f>
        <v>5.778843653384958</v>
      </c>
      <c r="AC16" s="549">
        <f t="shared" si="7"/>
        <v>-1.4210854715202004E-16</v>
      </c>
      <c r="AD16" s="196">
        <f>AA16/AA31</f>
        <v>0.6434185162406146</v>
      </c>
      <c r="AE16" s="196">
        <f>H16/H31</f>
        <v>1.285596109595519</v>
      </c>
    </row>
    <row r="17" spans="1:31" ht="18.75">
      <c r="A17" s="201" t="str">
        <f>Grig1!A$37</f>
        <v>г.Новочебоксарск</v>
      </c>
      <c r="B17" s="190">
        <f>VLOOKUP($A17,Grig1!$A$6:$P$58,2,0)</f>
        <v>41</v>
      </c>
      <c r="C17" s="200">
        <f>VLOOKUP($A17,Grig1!$A$6:$P$58,3,0)</f>
        <v>49</v>
      </c>
      <c r="D17" s="192">
        <f t="shared" si="0"/>
        <v>-0.16326530612244894</v>
      </c>
      <c r="E17" s="193">
        <f>VLOOKUP($A17,Grig1!$A$6:$P$58,5,0)</f>
        <v>1006600</v>
      </c>
      <c r="F17" s="194">
        <f>VLOOKUP($A17,Grig1!$A$6:$P$58,6,0)</f>
        <v>1958963</v>
      </c>
      <c r="G17" s="192">
        <f t="shared" si="1"/>
        <v>-0.48615670637985503</v>
      </c>
      <c r="H17" s="195">
        <f>B17/VLOOKUP($A17,Население!$A$1:$B$27,2,0)*100000</f>
        <v>32.96933048135222</v>
      </c>
      <c r="I17" s="196">
        <f>C17/VLOOKUP($A17,Население!$A$1:$B$27,2,0)*100000</f>
        <v>39.40237057527461</v>
      </c>
      <c r="J17" s="192">
        <f t="shared" si="2"/>
        <v>-0.16326530612244908</v>
      </c>
      <c r="K17" s="193">
        <f t="shared" si="8"/>
        <v>24551.219512195123</v>
      </c>
      <c r="L17" s="194">
        <f t="shared" si="8"/>
        <v>39978.836734693876</v>
      </c>
      <c r="M17" s="192">
        <f t="shared" si="3"/>
        <v>-0.3858946003076316</v>
      </c>
      <c r="N17" s="195">
        <f>E17/VLOOKUP($A17,Население!$A$1:$B$27,2,0)</f>
        <v>8.09437269817784</v>
      </c>
      <c r="O17" s="196">
        <f>F17/VLOOKUP($A17,Население!$A$1:$B$27,2,0)</f>
        <v>15.752609401888098</v>
      </c>
      <c r="P17" s="192">
        <f t="shared" si="4"/>
        <v>-0.4861567063798551</v>
      </c>
      <c r="Q17" s="190">
        <f>VLOOKUP($A17,Grig1!$A$6:$P$58,8,0)</f>
        <v>0</v>
      </c>
      <c r="R17" s="200">
        <f>VLOOKUP($A17,Grig1!$A$6:$P$58,9,0)</f>
        <v>2</v>
      </c>
      <c r="S17" s="192">
        <f t="shared" si="5"/>
        <v>-1</v>
      </c>
      <c r="T17" s="195">
        <f>Q17/VLOOKUP($A17,Население!$A$1:$B$27,2,0)*100000</f>
        <v>0</v>
      </c>
      <c r="U17" s="196">
        <f>R17/VLOOKUP($A17,Население!$A$1:$B$27,2,0)*100000</f>
        <v>1.6082600234805964</v>
      </c>
      <c r="V17" s="550">
        <f t="shared" si="9"/>
        <v>-1</v>
      </c>
      <c r="W17" s="551">
        <f>T17/T31</f>
        <v>0</v>
      </c>
      <c r="X17" s="200">
        <f>VLOOKUP($A17,Grig1!$A$6:$P$58,11,0)</f>
        <v>8</v>
      </c>
      <c r="Y17" s="200">
        <f>VLOOKUP($A17,Grig1!$A$6:$P$58,12,0)</f>
        <v>9</v>
      </c>
      <c r="Z17" s="548">
        <f t="shared" si="6"/>
        <v>-0.11111111111111115</v>
      </c>
      <c r="AA17" s="196">
        <f>X17/VLOOKUP($A17,Население!$A$1:$B$27,2,0)*100000</f>
        <v>6.4330400939223855</v>
      </c>
      <c r="AB17" s="196">
        <f>Y17/VLOOKUP($A17,Население!$A$1:$B$27,2,0)*100000</f>
        <v>7.237170105662683</v>
      </c>
      <c r="AC17" s="549">
        <f t="shared" si="7"/>
        <v>-0.111111111111111</v>
      </c>
      <c r="AD17" s="196">
        <f>AA17/AA31</f>
        <v>0.7162569815716378</v>
      </c>
      <c r="AE17" s="196">
        <f>H17/H31</f>
        <v>0.3964623986712825</v>
      </c>
    </row>
    <row r="18" spans="1:31" ht="18.75">
      <c r="A18" s="201" t="str">
        <f>Grig1!A$38</f>
        <v>Порецкий</v>
      </c>
      <c r="B18" s="190">
        <f>VLOOKUP($A18,Grig1!$A$6:$P$58,2,0)</f>
        <v>21</v>
      </c>
      <c r="C18" s="200">
        <f>VLOOKUP($A18,Grig1!$A$6:$P$58,3,0)</f>
        <v>19</v>
      </c>
      <c r="D18" s="192">
        <f t="shared" si="0"/>
        <v>0.10526315789473685</v>
      </c>
      <c r="E18" s="193">
        <f>VLOOKUP($A18,Grig1!$A$6:$P$58,5,0)</f>
        <v>2113500</v>
      </c>
      <c r="F18" s="194">
        <f>VLOOKUP($A18,Grig1!$A$6:$P$58,6,0)</f>
        <v>897200</v>
      </c>
      <c r="G18" s="192">
        <f t="shared" si="1"/>
        <v>1.3556620597414177</v>
      </c>
      <c r="H18" s="195">
        <f>B18/VLOOKUP($A18,Население!$A$1:$B$27,2,0)*100000</f>
        <v>154.46855461566753</v>
      </c>
      <c r="I18" s="196">
        <f>C18/VLOOKUP($A18,Население!$A$1:$B$27,2,0)*100000</f>
        <v>139.75726369988968</v>
      </c>
      <c r="J18" s="192">
        <f t="shared" si="2"/>
        <v>0.10526315789473671</v>
      </c>
      <c r="K18" s="193">
        <f t="shared" si="8"/>
        <v>100642.85714285714</v>
      </c>
      <c r="L18" s="194">
        <f t="shared" si="8"/>
        <v>47221.05263157895</v>
      </c>
      <c r="M18" s="192">
        <f t="shared" si="3"/>
        <v>1.1313132921469973</v>
      </c>
      <c r="N18" s="195">
        <f>E18/VLOOKUP($A18,Население!$A$1:$B$27,2,0)</f>
        <v>155.46156675248253</v>
      </c>
      <c r="O18" s="196">
        <f>F18/VLOOKUP($A18,Население!$A$1:$B$27,2,0)</f>
        <v>65.99485104817948</v>
      </c>
      <c r="P18" s="192">
        <f t="shared" si="4"/>
        <v>1.3556620597414175</v>
      </c>
      <c r="Q18" s="190">
        <f>VLOOKUP($A18,Grig1!$A$6:$P$58,8,0)</f>
        <v>4</v>
      </c>
      <c r="R18" s="200">
        <f>VLOOKUP($A18,Grig1!$A$6:$P$58,9,0)</f>
        <v>3</v>
      </c>
      <c r="S18" s="192">
        <f t="shared" si="5"/>
        <v>0.3333333333333334</v>
      </c>
      <c r="T18" s="195">
        <f>Q18/VLOOKUP($A18,Население!$A$1:$B$27,2,0)*100000</f>
        <v>29.42258183155572</v>
      </c>
      <c r="U18" s="196">
        <f>R18/VLOOKUP($A18,Население!$A$1:$B$27,2,0)*100000</f>
        <v>22.06693637366679</v>
      </c>
      <c r="V18" s="550">
        <f t="shared" si="9"/>
        <v>0.3333333333333334</v>
      </c>
      <c r="W18" s="551">
        <f>T18/T31</f>
        <v>3.988077458144778</v>
      </c>
      <c r="X18" s="200">
        <f>VLOOKUP($A18,Grig1!$A$6:$P$58,11,0)</f>
        <v>0</v>
      </c>
      <c r="Y18" s="200">
        <f>VLOOKUP($A18,Grig1!$A$6:$P$58,12,0)</f>
        <v>2</v>
      </c>
      <c r="Z18" s="548">
        <f t="shared" si="6"/>
        <v>-1</v>
      </c>
      <c r="AA18" s="196">
        <f>X18/VLOOKUP($A18,Население!$A$1:$B$27,2,0)*100000</f>
        <v>0</v>
      </c>
      <c r="AB18" s="196">
        <f>Y18/VLOOKUP($A18,Население!$A$1:$B$27,2,0)*100000</f>
        <v>14.71129091577786</v>
      </c>
      <c r="AC18" s="549">
        <f t="shared" si="7"/>
        <v>-1</v>
      </c>
      <c r="AD18" s="196">
        <f>AA18/AA31</f>
        <v>0</v>
      </c>
      <c r="AE18" s="196">
        <f>H18/H31</f>
        <v>1.857513415895784</v>
      </c>
    </row>
    <row r="19" spans="1:31" ht="18.75">
      <c r="A19" s="201" t="str">
        <f>Grig1!A$40</f>
        <v>Урмарский</v>
      </c>
      <c r="B19" s="190">
        <f>VLOOKUP($A19,Grig1!$A$6:$P$58,2,0)</f>
        <v>24</v>
      </c>
      <c r="C19" s="200">
        <f>VLOOKUP($A19,Grig1!$A$6:$P$58,3,0)</f>
        <v>33</v>
      </c>
      <c r="D19" s="192">
        <f t="shared" si="0"/>
        <v>-0.27272727272727265</v>
      </c>
      <c r="E19" s="193">
        <f>VLOOKUP($A19,Grig1!$A$6:$P$58,5,0)</f>
        <v>1185000</v>
      </c>
      <c r="F19" s="194">
        <f>VLOOKUP($A19,Grig1!$A$6:$P$58,6,0)</f>
        <v>3056400</v>
      </c>
      <c r="G19" s="192">
        <f t="shared" si="1"/>
        <v>-0.6122889674126423</v>
      </c>
      <c r="H19" s="195">
        <f>B19/VLOOKUP($A19,Население!$A$1:$B$27,2,0)*100000</f>
        <v>96.94619486185168</v>
      </c>
      <c r="I19" s="196">
        <f>C19/VLOOKUP($A19,Население!$A$1:$B$27,2,0)*100000</f>
        <v>133.30101793504605</v>
      </c>
      <c r="J19" s="192">
        <f t="shared" si="2"/>
        <v>-0.27272727272727265</v>
      </c>
      <c r="K19" s="193">
        <f t="shared" si="8"/>
        <v>49375</v>
      </c>
      <c r="L19" s="194">
        <f t="shared" si="8"/>
        <v>92618.18181818182</v>
      </c>
      <c r="M19" s="192">
        <f t="shared" si="3"/>
        <v>-0.4668973301923833</v>
      </c>
      <c r="N19" s="195">
        <f>E19/VLOOKUP($A19,Население!$A$1:$B$27,2,0)</f>
        <v>47.86718371303926</v>
      </c>
      <c r="O19" s="196">
        <f>F19/VLOOKUP($A19,Население!$A$1:$B$27,2,0)</f>
        <v>123.4609791565681</v>
      </c>
      <c r="P19" s="192">
        <f t="shared" si="4"/>
        <v>-0.6122889674126424</v>
      </c>
      <c r="Q19" s="190">
        <f>VLOOKUP($A19,Grig1!$A$6:$P$58,8,0)</f>
        <v>7</v>
      </c>
      <c r="R19" s="200">
        <f>VLOOKUP($A19,Grig1!$A$6:$P$58,9,0)</f>
        <v>2</v>
      </c>
      <c r="S19" s="192">
        <f t="shared" si="5"/>
        <v>2.5</v>
      </c>
      <c r="T19" s="195">
        <f>Q19/VLOOKUP($A19,Население!$A$1:$B$27,2,0)*100000</f>
        <v>28.275973501373407</v>
      </c>
      <c r="U19" s="196">
        <f>R19/VLOOKUP($A19,Население!$A$1:$B$27,2,0)*100000</f>
        <v>8.078849571820973</v>
      </c>
      <c r="V19" s="550">
        <f t="shared" si="9"/>
        <v>2.5</v>
      </c>
      <c r="W19" s="551">
        <f>T19/T31</f>
        <v>3.832660681292897</v>
      </c>
      <c r="X19" s="200">
        <f>VLOOKUP($A19,Grig1!$A$6:$P$58,11,0)</f>
        <v>0</v>
      </c>
      <c r="Y19" s="200">
        <f>VLOOKUP($A19,Grig1!$A$6:$P$58,12,0)</f>
        <v>1</v>
      </c>
      <c r="Z19" s="548">
        <f t="shared" si="6"/>
        <v>-1</v>
      </c>
      <c r="AA19" s="196">
        <f>X19/VLOOKUP($A19,Население!$A$1:$B$27,2,0)*100000</f>
        <v>0</v>
      </c>
      <c r="AB19" s="196">
        <f>Y19/VLOOKUP($A19,Население!$A$1:$B$27,2,0)*100000</f>
        <v>4.039424785910486</v>
      </c>
      <c r="AC19" s="549">
        <f t="shared" si="7"/>
        <v>-1</v>
      </c>
      <c r="AD19" s="196">
        <f>AA19/AA31</f>
        <v>0</v>
      </c>
      <c r="AE19" s="196">
        <f>H19/H31</f>
        <v>1.165796223211836</v>
      </c>
    </row>
    <row r="20" spans="1:31" s="637" customFormat="1" ht="18.75">
      <c r="A20" s="629" t="str">
        <f>Grig1!A$42</f>
        <v>Цивильский</v>
      </c>
      <c r="B20" s="630">
        <f>VLOOKUP($A20,Grig1!$A$6:$P$58,2,0)</f>
        <v>52</v>
      </c>
      <c r="C20" s="631">
        <f>VLOOKUP($A20,Grig1!$A$6:$P$58,3,0)</f>
        <v>38</v>
      </c>
      <c r="D20" s="632">
        <f t="shared" si="0"/>
        <v>0.3684210526315789</v>
      </c>
      <c r="E20" s="633">
        <f>VLOOKUP($A20,Grig1!$A$6:$P$58,5,0)</f>
        <v>3368000</v>
      </c>
      <c r="F20" s="634">
        <f>VLOOKUP($A20,Grig1!$A$6:$P$58,6,0)</f>
        <v>1751500</v>
      </c>
      <c r="G20" s="632">
        <f t="shared" si="1"/>
        <v>0.9229232086782758</v>
      </c>
      <c r="H20" s="635">
        <f>B20/VLOOKUP($A20,Население!$A$1:$B$27,2,0)*100000</f>
        <v>142.40722990551828</v>
      </c>
      <c r="I20" s="636">
        <f>C20/VLOOKUP($A20,Население!$A$1:$B$27,2,0)*100000</f>
        <v>104.06682185403258</v>
      </c>
      <c r="J20" s="632">
        <f t="shared" si="2"/>
        <v>0.3684210526315789</v>
      </c>
      <c r="K20" s="633">
        <f t="shared" si="8"/>
        <v>64769.230769230766</v>
      </c>
      <c r="L20" s="634">
        <f t="shared" si="8"/>
        <v>46092.10526315789</v>
      </c>
      <c r="M20" s="632">
        <f t="shared" si="3"/>
        <v>0.4052131140341245</v>
      </c>
      <c r="N20" s="635">
        <f>E20/VLOOKUP($A20,Население!$A$1:$B$27,2,0)</f>
        <v>92.23606736957414</v>
      </c>
      <c r="O20" s="636">
        <f>F20/VLOOKUP($A20,Население!$A$1:$B$27,2,0)</f>
        <v>47.96658907298371</v>
      </c>
      <c r="P20" s="632">
        <f t="shared" si="4"/>
        <v>0.9229232086782756</v>
      </c>
      <c r="Q20" s="630">
        <f>VLOOKUP($A20,Grig1!$A$6:$P$58,8,0)</f>
        <v>6</v>
      </c>
      <c r="R20" s="631">
        <f>VLOOKUP($A20,Grig1!$A$6:$P$58,9,0)</f>
        <v>4</v>
      </c>
      <c r="S20" s="632">
        <f t="shared" si="5"/>
        <v>0.5</v>
      </c>
      <c r="T20" s="635">
        <f>Q20/VLOOKUP($A20,Население!$A$1:$B$27,2,0)*100000</f>
        <v>16.431603450636725</v>
      </c>
      <c r="U20" s="636">
        <f>R20/VLOOKUP($A20,Население!$A$1:$B$27,2,0)*100000</f>
        <v>10.954402300424483</v>
      </c>
      <c r="V20" s="647">
        <f t="shared" si="9"/>
        <v>0.5</v>
      </c>
      <c r="W20" s="648">
        <f>T20/T31</f>
        <v>2.227218117628848</v>
      </c>
      <c r="X20" s="631">
        <f>VLOOKUP($A20,Grig1!$A$6:$P$58,11,0)</f>
        <v>7</v>
      </c>
      <c r="Y20" s="631">
        <f>VLOOKUP($A20,Grig1!$A$6:$P$58,12,0)</f>
        <v>2</v>
      </c>
      <c r="Z20" s="649">
        <f t="shared" si="6"/>
        <v>2.5</v>
      </c>
      <c r="AA20" s="636">
        <f>X20/VLOOKUP($A20,Население!$A$1:$B$27,2,0)*100000</f>
        <v>19.170204025742844</v>
      </c>
      <c r="AB20" s="636">
        <f>Y20/VLOOKUP($A20,Население!$A$1:$B$27,2,0)*100000</f>
        <v>5.477201150212242</v>
      </c>
      <c r="AC20" s="650">
        <f t="shared" si="7"/>
        <v>2.4999999999999996</v>
      </c>
      <c r="AD20" s="636">
        <f>AA20/AA31</f>
        <v>2.134417362727646</v>
      </c>
      <c r="AE20" s="636">
        <f>H20/H31</f>
        <v>1.7124737182154306</v>
      </c>
    </row>
    <row r="21" spans="1:31" ht="18.75">
      <c r="A21" s="201" t="str">
        <f>Grig1!A$44</f>
        <v>Чебоксарский</v>
      </c>
      <c r="B21" s="190">
        <f>VLOOKUP($A21,Grig1!$A$6:$P$58,2,0)</f>
        <v>85</v>
      </c>
      <c r="C21" s="200">
        <f>VLOOKUP($A21,Grig1!$A$6:$P$58,3,0)</f>
        <v>87</v>
      </c>
      <c r="D21" s="192">
        <f t="shared" si="0"/>
        <v>-0.022988505747126454</v>
      </c>
      <c r="E21" s="193">
        <f>VLOOKUP($A21,Grig1!$A$6:$P$58,5,0)</f>
        <v>4954238</v>
      </c>
      <c r="F21" s="194">
        <f>VLOOKUP($A21,Grig1!$A$6:$P$58,6,0)</f>
        <v>4818131</v>
      </c>
      <c r="G21" s="192">
        <f t="shared" si="1"/>
        <v>0.028248920587671904</v>
      </c>
      <c r="H21" s="195">
        <f>B21/VLOOKUP($A21,Население!$A$1:$B$27,2,0)*100000</f>
        <v>134.25150835518212</v>
      </c>
      <c r="I21" s="196">
        <f>C21/VLOOKUP($A21,Население!$A$1:$B$27,2,0)*100000</f>
        <v>137.41036737530402</v>
      </c>
      <c r="J21" s="192">
        <f t="shared" si="2"/>
        <v>-0.02298850574712617</v>
      </c>
      <c r="K21" s="193">
        <f t="shared" si="8"/>
        <v>58285.15294117647</v>
      </c>
      <c r="L21" s="194">
        <f t="shared" si="8"/>
        <v>55380.816091954024</v>
      </c>
      <c r="M21" s="192">
        <f t="shared" si="3"/>
        <v>0.052443012836793625</v>
      </c>
      <c r="N21" s="195">
        <f>E21/VLOOKUP($A21,Население!$A$1:$B$27,2,0)</f>
        <v>78.2486969706542</v>
      </c>
      <c r="O21" s="196">
        <f>F21/VLOOKUP($A21,Население!$A$1:$B$27,2,0)</f>
        <v>76.09898284739552</v>
      </c>
      <c r="P21" s="192">
        <f t="shared" si="4"/>
        <v>0.028248920587671762</v>
      </c>
      <c r="Q21" s="190">
        <f>VLOOKUP($A21,Grig1!$A$6:$P$58,8,0)</f>
        <v>5</v>
      </c>
      <c r="R21" s="200">
        <f>VLOOKUP($A21,Grig1!$A$6:$P$58,9,0)</f>
        <v>8</v>
      </c>
      <c r="S21" s="192">
        <f t="shared" si="5"/>
        <v>-0.375</v>
      </c>
      <c r="T21" s="195">
        <f>Q21/VLOOKUP($A21,Население!$A$1:$B$27,2,0)*100000</f>
        <v>7.89714755030483</v>
      </c>
      <c r="U21" s="196">
        <f>R21/VLOOKUP($A21,Население!$A$1:$B$27,2,0)*100000</f>
        <v>12.635436080487729</v>
      </c>
      <c r="V21" s="550">
        <f t="shared" si="9"/>
        <v>-0.37500000000000006</v>
      </c>
      <c r="W21" s="551">
        <f>T21/T31</f>
        <v>1.0704171479348614</v>
      </c>
      <c r="X21" s="200">
        <f>VLOOKUP($A21,Grig1!$A$6:$P$58,11,0)</f>
        <v>7</v>
      </c>
      <c r="Y21" s="200">
        <f>VLOOKUP($A21,Grig1!$A$6:$P$58,12,0)</f>
        <v>8</v>
      </c>
      <c r="Z21" s="548">
        <f t="shared" si="6"/>
        <v>-0.125</v>
      </c>
      <c r="AA21" s="196">
        <f>X21/VLOOKUP($A21,Население!$A$1:$B$27,2,0)*100000</f>
        <v>11.056006570426762</v>
      </c>
      <c r="AB21" s="196">
        <f>Y21/VLOOKUP($A21,Население!$A$1:$B$27,2,0)*100000</f>
        <v>12.635436080487729</v>
      </c>
      <c r="AC21" s="549">
        <f t="shared" si="7"/>
        <v>-0.12500000000000014</v>
      </c>
      <c r="AD21" s="196">
        <f>AA21/AA31</f>
        <v>1.230979720125091</v>
      </c>
      <c r="AE21" s="196">
        <f>H21/H31</f>
        <v>1.614399632950939</v>
      </c>
    </row>
    <row r="22" spans="1:31" ht="18.75">
      <c r="A22" s="201" t="str">
        <f>Grig1!A$46</f>
        <v>Шемуршинский</v>
      </c>
      <c r="B22" s="190">
        <f>VLOOKUP($A22,Grig1!$A$6:$P$58,2,0)</f>
        <v>14</v>
      </c>
      <c r="C22" s="200">
        <f>VLOOKUP($A22,Grig1!$A$6:$P$58,3,0)</f>
        <v>10</v>
      </c>
      <c r="D22" s="192">
        <f t="shared" si="0"/>
        <v>0.4</v>
      </c>
      <c r="E22" s="193">
        <f>VLOOKUP($A22,Grig1!$A$6:$P$58,5,0)</f>
        <v>1029610</v>
      </c>
      <c r="F22" s="194">
        <f>VLOOKUP($A22,Grig1!$A$6:$P$58,6,0)</f>
        <v>791000</v>
      </c>
      <c r="G22" s="192">
        <f t="shared" si="1"/>
        <v>0.3016561314791403</v>
      </c>
      <c r="H22" s="195">
        <f>B22/VLOOKUP($A22,Население!$A$1:$B$27,2,0)*100000</f>
        <v>99.03091179175215</v>
      </c>
      <c r="I22" s="196">
        <f>C22/VLOOKUP($A22,Население!$A$1:$B$27,2,0)*100000</f>
        <v>70.73636556553724</v>
      </c>
      <c r="J22" s="192">
        <f t="shared" si="2"/>
        <v>0.4000000000000003</v>
      </c>
      <c r="K22" s="193">
        <f t="shared" si="8"/>
        <v>73543.57142857143</v>
      </c>
      <c r="L22" s="194">
        <f t="shared" si="8"/>
        <v>79100</v>
      </c>
      <c r="M22" s="192">
        <f t="shared" si="3"/>
        <v>-0.07024562037204247</v>
      </c>
      <c r="N22" s="195">
        <f>E22/VLOOKUP($A22,Население!$A$1:$B$27,2,0)</f>
        <v>72.8308693499328</v>
      </c>
      <c r="O22" s="196">
        <f>F22/VLOOKUP($A22,Население!$A$1:$B$27,2,0)</f>
        <v>55.95246516233996</v>
      </c>
      <c r="P22" s="192">
        <f t="shared" si="4"/>
        <v>0.3016561314791403</v>
      </c>
      <c r="Q22" s="190">
        <f>VLOOKUP($A22,Grig1!$A$6:$P$58,8,0)</f>
        <v>0</v>
      </c>
      <c r="R22" s="200">
        <f>VLOOKUP($A22,Grig1!$A$6:$P$58,9,0)</f>
        <v>1</v>
      </c>
      <c r="S22" s="192">
        <f t="shared" si="5"/>
        <v>-1</v>
      </c>
      <c r="T22" s="195">
        <f>Q22/VLOOKUP($A22,Население!$A$1:$B$27,2,0)*100000</f>
        <v>0</v>
      </c>
      <c r="U22" s="196">
        <f>R22/VLOOKUP($A22,Население!$A$1:$B$27,2,0)*100000</f>
        <v>7.0736365565537245</v>
      </c>
      <c r="V22" s="550">
        <f t="shared" si="9"/>
        <v>-1</v>
      </c>
      <c r="W22" s="551">
        <f>T22/T31</f>
        <v>0</v>
      </c>
      <c r="X22" s="200">
        <f>VLOOKUP($A22,Grig1!$A$6:$P$58,11,0)</f>
        <v>0</v>
      </c>
      <c r="Y22" s="200">
        <f>VLOOKUP($A22,Grig1!$A$6:$P$58,12,0)</f>
        <v>0</v>
      </c>
      <c r="Z22" s="548" t="str">
        <f t="shared" si="6"/>
        <v>--</v>
      </c>
      <c r="AA22" s="196">
        <f>X22/VLOOKUP($A22,Население!$A$1:$B$27,2,0)*100000</f>
        <v>0</v>
      </c>
      <c r="AB22" s="196">
        <f>Y22/VLOOKUP($A22,Население!$A$1:$B$27,2,0)*100000</f>
        <v>0</v>
      </c>
      <c r="AC22" s="549" t="str">
        <f t="shared" si="7"/>
        <v>--</v>
      </c>
      <c r="AD22" s="196">
        <f>AA22/AA31</f>
        <v>0</v>
      </c>
      <c r="AE22" s="196">
        <f>H22/H31</f>
        <v>1.1908653363091266</v>
      </c>
    </row>
    <row r="23" spans="1:31" ht="18.75">
      <c r="A23" s="201" t="str">
        <f>Grig1!A$48</f>
        <v>Шумерлинский</v>
      </c>
      <c r="B23" s="190">
        <f>VLOOKUP($A23,Grig1!$A$6:$P$58,2,0)</f>
        <v>44</v>
      </c>
      <c r="C23" s="200">
        <f>VLOOKUP($A23,Grig1!$A$6:$P$58,3,0)</f>
        <v>57</v>
      </c>
      <c r="D23" s="192">
        <f t="shared" si="0"/>
        <v>-0.22807017543859642</v>
      </c>
      <c r="E23" s="193">
        <f>VLOOKUP($A23,Grig1!$A$6:$P$58,5,0)</f>
        <v>3230400</v>
      </c>
      <c r="F23" s="194">
        <f>VLOOKUP($A23,Grig1!$A$6:$P$58,6,0)</f>
        <v>2810131</v>
      </c>
      <c r="G23" s="192">
        <f t="shared" si="1"/>
        <v>0.14955494957352528</v>
      </c>
      <c r="H23" s="195">
        <f>B23/VLOOKUP($A23,Население!$A$1:$B$27,2,0)*100000</f>
        <v>105.51305724083356</v>
      </c>
      <c r="I23" s="196">
        <f>C23/VLOOKUP($A23,Население!$A$1:$B$27,2,0)*100000</f>
        <v>136.68736960744346</v>
      </c>
      <c r="J23" s="192">
        <f t="shared" si="2"/>
        <v>-0.22807017543859628</v>
      </c>
      <c r="K23" s="193">
        <f t="shared" si="8"/>
        <v>73418.18181818182</v>
      </c>
      <c r="L23" s="194">
        <f t="shared" si="8"/>
        <v>49300.54385964912</v>
      </c>
      <c r="M23" s="192">
        <f t="shared" si="3"/>
        <v>0.4891961846747941</v>
      </c>
      <c r="N23" s="195">
        <f>E23/VLOOKUP($A23,Население!$A$1:$B$27,2,0)</f>
        <v>77.46576820699744</v>
      </c>
      <c r="O23" s="196">
        <f>F23/VLOOKUP($A23,Население!$A$1:$B$27,2,0)</f>
        <v>67.38761660391837</v>
      </c>
      <c r="P23" s="192">
        <f t="shared" si="4"/>
        <v>0.14955494957352514</v>
      </c>
      <c r="Q23" s="190">
        <f>VLOOKUP($A23,Grig1!$A$6:$P$58,8,0)</f>
        <v>3</v>
      </c>
      <c r="R23" s="200">
        <f>VLOOKUP($A23,Grig1!$A$6:$P$58,9,0)</f>
        <v>8</v>
      </c>
      <c r="S23" s="192">
        <f t="shared" si="5"/>
        <v>-0.625</v>
      </c>
      <c r="T23" s="195">
        <f>Q23/VLOOKUP($A23,Население!$A$1:$B$27,2,0)*100000</f>
        <v>7.194072084602288</v>
      </c>
      <c r="U23" s="196">
        <f>R23/VLOOKUP($A23,Население!$A$1:$B$27,2,0)*100000</f>
        <v>19.1841922256061</v>
      </c>
      <c r="V23" s="550">
        <f t="shared" si="9"/>
        <v>-0.6249999999999999</v>
      </c>
      <c r="W23" s="551">
        <f>T23/T31</f>
        <v>0.975118936778703</v>
      </c>
      <c r="X23" s="200">
        <f>VLOOKUP($A23,Grig1!$A$6:$P$58,11,0)</f>
        <v>2</v>
      </c>
      <c r="Y23" s="200">
        <f>VLOOKUP($A23,Grig1!$A$6:$P$58,12,0)</f>
        <v>4</v>
      </c>
      <c r="Z23" s="548">
        <f t="shared" si="6"/>
        <v>-0.5</v>
      </c>
      <c r="AA23" s="196">
        <f>X23/VLOOKUP($A23,Население!$A$1:$B$27,2,0)*100000</f>
        <v>4.796048056401525</v>
      </c>
      <c r="AB23" s="196">
        <f>Y23/VLOOKUP($A23,Население!$A$1:$B$27,2,0)*100000</f>
        <v>9.59209611280305</v>
      </c>
      <c r="AC23" s="549">
        <f t="shared" si="7"/>
        <v>-0.5</v>
      </c>
      <c r="AD23" s="196">
        <f>AA23/AA31</f>
        <v>0.5339937034740517</v>
      </c>
      <c r="AE23" s="196">
        <f>H23/H31</f>
        <v>1.268814354252713</v>
      </c>
    </row>
    <row r="24" spans="1:31" ht="18.75">
      <c r="A24" s="201" t="str">
        <f>Grig1!A$50</f>
        <v>Ядринский</v>
      </c>
      <c r="B24" s="190">
        <f>VLOOKUP($A24,Grig1!$A$6:$P$58,2,0)</f>
        <v>39</v>
      </c>
      <c r="C24" s="200">
        <f>VLOOKUP($A24,Grig1!$A$6:$P$58,3,0)</f>
        <v>46</v>
      </c>
      <c r="D24" s="192">
        <f t="shared" si="0"/>
        <v>-0.15217391304347827</v>
      </c>
      <c r="E24" s="193">
        <f>VLOOKUP($A24,Grig1!$A$6:$P$58,5,0)</f>
        <v>1902500</v>
      </c>
      <c r="F24" s="194">
        <f>VLOOKUP($A24,Grig1!$A$6:$P$58,6,0)</f>
        <v>2589700</v>
      </c>
      <c r="G24" s="192">
        <f t="shared" si="1"/>
        <v>-0.2653589218828435</v>
      </c>
      <c r="H24" s="195">
        <f>B24/VLOOKUP($A24,Население!$A$1:$B$27,2,0)*100000</f>
        <v>133.43825914394225</v>
      </c>
      <c r="I24" s="196">
        <f>C24/VLOOKUP($A24,Население!$A$1:$B$27,2,0)*100000</f>
        <v>157.38871591336778</v>
      </c>
      <c r="J24" s="192">
        <f t="shared" si="2"/>
        <v>-0.15217391304347827</v>
      </c>
      <c r="K24" s="193">
        <f t="shared" si="8"/>
        <v>48782.05128205128</v>
      </c>
      <c r="L24" s="194">
        <f t="shared" si="8"/>
        <v>56297.82608695652</v>
      </c>
      <c r="M24" s="192">
        <f t="shared" si="3"/>
        <v>-0.13350026683617444</v>
      </c>
      <c r="N24" s="195">
        <f>E24/VLOOKUP($A24,Население!$A$1:$B$27,2,0)</f>
        <v>65.09392000547439</v>
      </c>
      <c r="O24" s="196">
        <f>F24/VLOOKUP($A24,Население!$A$1:$B$27,2,0)</f>
        <v>88.60642556540185</v>
      </c>
      <c r="P24" s="192">
        <f t="shared" si="4"/>
        <v>-0.2653589218828435</v>
      </c>
      <c r="Q24" s="190">
        <f>VLOOKUP($A24,Grig1!$A$6:$P$58,8,0)</f>
        <v>2</v>
      </c>
      <c r="R24" s="200">
        <f>VLOOKUP($A24,Grig1!$A$6:$P$58,9,0)</f>
        <v>5</v>
      </c>
      <c r="S24" s="192">
        <f t="shared" si="5"/>
        <v>-0.6</v>
      </c>
      <c r="T24" s="195">
        <f>Q24/VLOOKUP($A24,Население!$A$1:$B$27,2,0)*100000</f>
        <v>6.842987648407295</v>
      </c>
      <c r="U24" s="196">
        <f>R24/VLOOKUP($A24,Население!$A$1:$B$27,2,0)*100000</f>
        <v>17.107469121018237</v>
      </c>
      <c r="V24" s="550">
        <f t="shared" si="9"/>
        <v>-0.6</v>
      </c>
      <c r="W24" s="551">
        <f>T24/T31</f>
        <v>0.9275312731973562</v>
      </c>
      <c r="X24" s="200">
        <f>VLOOKUP($A24,Grig1!$A$6:$P$58,11,0)</f>
        <v>9</v>
      </c>
      <c r="Y24" s="200">
        <f>VLOOKUP($A24,Grig1!$A$6:$P$58,12,0)</f>
        <v>1</v>
      </c>
      <c r="Z24" s="548">
        <f t="shared" si="6"/>
        <v>8</v>
      </c>
      <c r="AA24" s="196">
        <f>X24/VLOOKUP($A24,Население!$A$1:$B$27,2,0)*100000</f>
        <v>30.793444417832827</v>
      </c>
      <c r="AB24" s="196">
        <f>Y24/VLOOKUP($A24,Население!$A$1:$B$27,2,0)*100000</f>
        <v>3.4214938242036474</v>
      </c>
      <c r="AC24" s="549">
        <f t="shared" si="7"/>
        <v>7.999999999999999</v>
      </c>
      <c r="AD24" s="196">
        <f>AA24/AA31</f>
        <v>3.428553099140228</v>
      </c>
      <c r="AE24" s="196">
        <f>H24/H31</f>
        <v>1.6046201582604214</v>
      </c>
    </row>
    <row r="25" spans="1:31" ht="18.75">
      <c r="A25" s="201" t="str">
        <f>Grig1!A$52</f>
        <v>Яльчикский</v>
      </c>
      <c r="B25" s="190">
        <f>VLOOKUP($A25,Grig1!$A$6:$P$58,2,0)</f>
        <v>21</v>
      </c>
      <c r="C25" s="200">
        <f>VLOOKUP($A25,Grig1!$A$6:$P$58,3,0)</f>
        <v>18</v>
      </c>
      <c r="D25" s="192">
        <f t="shared" si="0"/>
        <v>0.1666666666666667</v>
      </c>
      <c r="E25" s="193">
        <f>VLOOKUP($A25,Grig1!$A$6:$P$58,5,0)</f>
        <v>802370</v>
      </c>
      <c r="F25" s="194">
        <f>VLOOKUP($A25,Grig1!$A$6:$P$58,6,0)</f>
        <v>697000</v>
      </c>
      <c r="G25" s="192">
        <f t="shared" si="1"/>
        <v>0.15117647058823536</v>
      </c>
      <c r="H25" s="195">
        <f>B25/VLOOKUP($A25,Население!$A$1:$B$27,2,0)*100000</f>
        <v>105.9856667003129</v>
      </c>
      <c r="I25" s="196">
        <f>C25/VLOOKUP($A25,Население!$A$1:$B$27,2,0)*100000</f>
        <v>90.84485717169677</v>
      </c>
      <c r="J25" s="192">
        <f t="shared" si="2"/>
        <v>0.1666666666666667</v>
      </c>
      <c r="K25" s="193">
        <f t="shared" si="8"/>
        <v>38208.09523809524</v>
      </c>
      <c r="L25" s="194">
        <f t="shared" si="8"/>
        <v>38722.22222222222</v>
      </c>
      <c r="M25" s="192">
        <f t="shared" si="3"/>
        <v>-0.01327731092436963</v>
      </c>
      <c r="N25" s="195">
        <f>E25/VLOOKUP($A25,Население!$A$1:$B$27,2,0)</f>
        <v>40.49510447158575</v>
      </c>
      <c r="O25" s="196">
        <f>F25/VLOOKUP($A25,Население!$A$1:$B$27,2,0)</f>
        <v>35.17714747148481</v>
      </c>
      <c r="P25" s="192">
        <f t="shared" si="4"/>
        <v>0.15117647058823522</v>
      </c>
      <c r="Q25" s="190">
        <f>VLOOKUP($A25,Grig1!$A$6:$P$58,8,0)</f>
        <v>0</v>
      </c>
      <c r="R25" s="200">
        <f>VLOOKUP($A25,Grig1!$A$6:$P$58,9,0)</f>
        <v>1</v>
      </c>
      <c r="S25" s="192">
        <f t="shared" si="5"/>
        <v>-1</v>
      </c>
      <c r="T25" s="195">
        <f>Q25/VLOOKUP($A25,Население!$A$1:$B$27,2,0)*100000</f>
        <v>0</v>
      </c>
      <c r="U25" s="196">
        <f>R25/VLOOKUP($A25,Население!$A$1:$B$27,2,0)*100000</f>
        <v>5.0469365095387095</v>
      </c>
      <c r="V25" s="550">
        <f t="shared" si="9"/>
        <v>-1</v>
      </c>
      <c r="W25" s="551">
        <f>T25/T31</f>
        <v>0</v>
      </c>
      <c r="X25" s="200">
        <f>VLOOKUP($A25,Grig1!$A$6:$P$58,11,0)</f>
        <v>1</v>
      </c>
      <c r="Y25" s="200">
        <f>VLOOKUP($A25,Grig1!$A$6:$P$58,12,0)</f>
        <v>2</v>
      </c>
      <c r="Z25" s="548">
        <f t="shared" si="6"/>
        <v>-0.5</v>
      </c>
      <c r="AA25" s="196">
        <f>X25/VLOOKUP($A25,Население!$A$1:$B$27,2,0)*100000</f>
        <v>5.0469365095387095</v>
      </c>
      <c r="AB25" s="196">
        <f>Y25/VLOOKUP($A25,Население!$A$1:$B$27,2,0)*100000</f>
        <v>10.093873019077419</v>
      </c>
      <c r="AC25" s="549">
        <f t="shared" si="7"/>
        <v>-0.5</v>
      </c>
      <c r="AD25" s="196">
        <f>AA25/AA31</f>
        <v>0.5619277134493648</v>
      </c>
      <c r="AE25" s="196">
        <f>H25/H31</f>
        <v>1.2744975718735834</v>
      </c>
    </row>
    <row r="26" spans="1:31" ht="18.75">
      <c r="A26" s="201" t="str">
        <f>Grig1!A$54</f>
        <v>Янтиковский</v>
      </c>
      <c r="B26" s="190">
        <f>VLOOKUP($A26,Grig1!$A$6:$P$58,2,0)</f>
        <v>17</v>
      </c>
      <c r="C26" s="200">
        <f>VLOOKUP($A26,Grig1!$A$6:$P$58,3,0)</f>
        <v>19</v>
      </c>
      <c r="D26" s="192">
        <f t="shared" si="0"/>
        <v>-0.10526315789473685</v>
      </c>
      <c r="E26" s="193">
        <f>VLOOKUP($A26,Grig1!$A$6:$P$58,5,0)</f>
        <v>748500</v>
      </c>
      <c r="F26" s="194">
        <f>VLOOKUP($A26,Grig1!$A$6:$P$58,6,0)</f>
        <v>1249000</v>
      </c>
      <c r="G26" s="192">
        <f t="shared" si="1"/>
        <v>-0.400720576461169</v>
      </c>
      <c r="H26" s="195">
        <f>B26/VLOOKUP($A26,Население!$A$1:$B$27,2,0)*100000</f>
        <v>105.3479581086943</v>
      </c>
      <c r="I26" s="196">
        <f>C26/VLOOKUP($A26,Население!$A$1:$B$27,2,0)*100000</f>
        <v>117.74183553324657</v>
      </c>
      <c r="J26" s="192">
        <f t="shared" si="2"/>
        <v>-0.10526315789473685</v>
      </c>
      <c r="K26" s="193">
        <f t="shared" si="8"/>
        <v>44029.41176470588</v>
      </c>
      <c r="L26" s="194">
        <f t="shared" si="8"/>
        <v>65736.84210526316</v>
      </c>
      <c r="M26" s="192">
        <f t="shared" si="3"/>
        <v>-0.33021711486836536</v>
      </c>
      <c r="N26" s="195">
        <f>E26/VLOOKUP($A26,Население!$A$1:$B$27,2,0)</f>
        <v>46.38408626138688</v>
      </c>
      <c r="O26" s="196">
        <f>F26/VLOOKUP($A26,Население!$A$1:$B$27,2,0)</f>
        <v>77.39976451632893</v>
      </c>
      <c r="P26" s="192">
        <f t="shared" si="4"/>
        <v>-0.4007205764611689</v>
      </c>
      <c r="Q26" s="190">
        <f>VLOOKUP($A26,Grig1!$A$6:$P$58,8,0)</f>
        <v>2</v>
      </c>
      <c r="R26" s="200">
        <f>VLOOKUP($A26,Grig1!$A$6:$P$58,9,0)</f>
        <v>0</v>
      </c>
      <c r="S26" s="192" t="str">
        <f t="shared" si="5"/>
        <v>--</v>
      </c>
      <c r="T26" s="195">
        <f>Q26/VLOOKUP($A26,Население!$A$1:$B$27,2,0)*100000</f>
        <v>12.39387742455227</v>
      </c>
      <c r="U26" s="196">
        <f>R26/VLOOKUP($A26,Население!$A$1:$B$27,2,0)*100000</f>
        <v>0</v>
      </c>
      <c r="V26" s="550" t="str">
        <f t="shared" si="9"/>
        <v>--</v>
      </c>
      <c r="W26" s="551">
        <f>T26/T31</f>
        <v>1.679925421189758</v>
      </c>
      <c r="X26" s="200">
        <f>VLOOKUP($A26,Grig1!$A$6:$P$58,11,0)</f>
        <v>0</v>
      </c>
      <c r="Y26" s="200">
        <f>VLOOKUP($A26,Grig1!$A$6:$P$58,12,0)</f>
        <v>0</v>
      </c>
      <c r="Z26" s="548" t="str">
        <f t="shared" si="6"/>
        <v>--</v>
      </c>
      <c r="AA26" s="196">
        <f>X26/VLOOKUP($A26,Население!$A$1:$B$27,2,0)*100000</f>
        <v>0</v>
      </c>
      <c r="AB26" s="196">
        <f>Y26/VLOOKUP($A26,Население!$A$1:$B$27,2,0)*100000</f>
        <v>0</v>
      </c>
      <c r="AC26" s="549" t="str">
        <f t="shared" si="7"/>
        <v>--</v>
      </c>
      <c r="AD26" s="196">
        <f>AA26/AA31</f>
        <v>0</v>
      </c>
      <c r="AE26" s="196">
        <f>H26/H31</f>
        <v>1.2668290061430965</v>
      </c>
    </row>
    <row r="27" spans="1:31" ht="18.75">
      <c r="A27" s="201" t="str">
        <f>Grig1!A$7</f>
        <v>Ленинский</v>
      </c>
      <c r="B27" s="190">
        <f>VLOOKUP($A27,Grig1!$A$6:$P$58,2,0)</f>
        <v>62</v>
      </c>
      <c r="C27" s="200">
        <f>VLOOKUP($A27,Grig1!$A$6:$P$58,3,0)</f>
        <v>58</v>
      </c>
      <c r="D27" s="192">
        <f t="shared" si="0"/>
        <v>0.06896551724137936</v>
      </c>
      <c r="E27" s="193">
        <f>VLOOKUP($A27,Grig1!$A$6:$P$58,5,0)</f>
        <v>7965575</v>
      </c>
      <c r="F27" s="194">
        <f>VLOOKUP($A27,Grig1!$A$6:$P$58,6,0)</f>
        <v>4055278</v>
      </c>
      <c r="G27" s="192">
        <f t="shared" si="1"/>
        <v>0.964248813521539</v>
      </c>
      <c r="H27" s="195">
        <f>B27/VLOOKUP($A27,Население!$A$1:$B$27,2,0)*100000</f>
        <v>50.24107613143713</v>
      </c>
      <c r="I27" s="196">
        <f>C27/VLOOKUP($A27,Население!$A$1:$B$27,2,0)*100000</f>
        <v>46.999716381021834</v>
      </c>
      <c r="J27" s="192">
        <f t="shared" si="2"/>
        <v>0.06896551724137921</v>
      </c>
      <c r="K27" s="193">
        <f t="shared" si="8"/>
        <v>128477.01612903226</v>
      </c>
      <c r="L27" s="194">
        <f t="shared" si="8"/>
        <v>69918.58620689655</v>
      </c>
      <c r="M27" s="192">
        <f t="shared" si="3"/>
        <v>0.8375230836169237</v>
      </c>
      <c r="N27" s="195">
        <f>E27/VLOOKUP($A27,Население!$A$1:$B$27,2,0)</f>
        <v>64.54823548478586</v>
      </c>
      <c r="O27" s="196">
        <f>F27/VLOOKUP($A27,Население!$A$1:$B$27,2,0)</f>
        <v>32.861537214861634</v>
      </c>
      <c r="P27" s="192">
        <f t="shared" si="4"/>
        <v>0.964248813521539</v>
      </c>
      <c r="Q27" s="190">
        <f>VLOOKUP($A27,Grig1!$A$6:$P$58,8,0)</f>
        <v>5</v>
      </c>
      <c r="R27" s="200">
        <f>VLOOKUP($A27,Grig1!$A$6:$P$58,9,0)</f>
        <v>3</v>
      </c>
      <c r="S27" s="192">
        <f t="shared" si="5"/>
        <v>0.6666666666666665</v>
      </c>
      <c r="T27" s="195">
        <f>Q27/VLOOKUP($A27,Население!$A$1:$B$27,2,0)*100000</f>
        <v>4.051699688019124</v>
      </c>
      <c r="U27" s="196">
        <f>R27/VLOOKUP($A27,Население!$A$1:$B$27,2,0)*100000</f>
        <v>2.4310198128114746</v>
      </c>
      <c r="V27" s="550">
        <f t="shared" si="9"/>
        <v>0.6666666666666663</v>
      </c>
      <c r="W27" s="551">
        <f>T27/T31</f>
        <v>0.549186753408272</v>
      </c>
      <c r="X27" s="200">
        <f>VLOOKUP($A27,Grig1!$A$6:$P$58,11,0)</f>
        <v>10</v>
      </c>
      <c r="Y27" s="200">
        <f>VLOOKUP($A27,Grig1!$A$6:$P$58,12,0)</f>
        <v>7</v>
      </c>
      <c r="Z27" s="548">
        <f t="shared" si="6"/>
        <v>0.4285714285714286</v>
      </c>
      <c r="AA27" s="196">
        <f>X27/VLOOKUP($A27,Население!$A$1:$B$27,2,0)*100000</f>
        <v>8.103399376038247</v>
      </c>
      <c r="AB27" s="196">
        <f>Y27/VLOOKUP($A27,Население!$A$1:$B$27,2,0)*100000</f>
        <v>5.672379563226774</v>
      </c>
      <c r="AC27" s="549">
        <f t="shared" si="7"/>
        <v>0.4285714285714283</v>
      </c>
      <c r="AD27" s="196">
        <f>AA27/AA31</f>
        <v>0.9022353805993042</v>
      </c>
      <c r="AE27" s="196">
        <f>H27/H31</f>
        <v>0.6041583879345774</v>
      </c>
    </row>
    <row r="28" spans="1:31" ht="18.75">
      <c r="A28" s="201" t="str">
        <f>Grig1!A$8</f>
        <v>Московский</v>
      </c>
      <c r="B28" s="190">
        <f>VLOOKUP($A28,Grig1!$A$6:$P$58,2,0)</f>
        <v>76</v>
      </c>
      <c r="C28" s="200">
        <f>VLOOKUP($A28,Grig1!$A$6:$P$58,3,0)</f>
        <v>84</v>
      </c>
      <c r="D28" s="192">
        <f t="shared" si="0"/>
        <v>-0.09523809523809518</v>
      </c>
      <c r="E28" s="193">
        <f>VLOOKUP($A28,Grig1!$A$6:$P$58,5,0)</f>
        <v>4174505</v>
      </c>
      <c r="F28" s="194">
        <f>VLOOKUP($A28,Grig1!$A$6:$P$58,6,0)</f>
        <v>5800179</v>
      </c>
      <c r="G28" s="192">
        <f t="shared" si="1"/>
        <v>-0.2802799706698707</v>
      </c>
      <c r="H28" s="195">
        <f>B28/VLOOKUP($A28,Население!$A$1:$B$27,2,0)*100000</f>
        <v>40.63084736701416</v>
      </c>
      <c r="I28" s="196">
        <f>C28/VLOOKUP($A28,Население!$A$1:$B$27,2,0)*100000</f>
        <v>44.907778668805136</v>
      </c>
      <c r="J28" s="192">
        <f t="shared" si="2"/>
        <v>-0.09523809523809547</v>
      </c>
      <c r="K28" s="193">
        <f t="shared" si="8"/>
        <v>54927.69736842105</v>
      </c>
      <c r="L28" s="194">
        <f t="shared" si="8"/>
        <v>69049.75</v>
      </c>
      <c r="M28" s="192">
        <f t="shared" si="3"/>
        <v>-0.20451996758248867</v>
      </c>
      <c r="N28" s="195">
        <f>E28/VLOOKUP($A28,Население!$A$1:$B$27,2,0)</f>
        <v>22.317588879978615</v>
      </c>
      <c r="O28" s="196">
        <f>F28/VLOOKUP($A28,Население!$A$1:$B$27,2,0)</f>
        <v>31.00870890136327</v>
      </c>
      <c r="P28" s="192">
        <f t="shared" si="4"/>
        <v>-0.2802799706698707</v>
      </c>
      <c r="Q28" s="190">
        <f>VLOOKUP($A28,Grig1!$A$6:$P$58,8,0)</f>
        <v>9</v>
      </c>
      <c r="R28" s="200">
        <f>VLOOKUP($A28,Grig1!$A$6:$P$58,9,0)</f>
        <v>8</v>
      </c>
      <c r="S28" s="192">
        <f t="shared" si="5"/>
        <v>0.125</v>
      </c>
      <c r="T28" s="195">
        <f>Q28/VLOOKUP($A28,Население!$A$1:$B$27,2,0)*100000</f>
        <v>4.811547714514835</v>
      </c>
      <c r="U28" s="196">
        <f>R28/VLOOKUP($A28,Население!$A$1:$B$27,2,0)*100000</f>
        <v>4.276931301790965</v>
      </c>
      <c r="V28" s="550">
        <f t="shared" si="9"/>
        <v>0.12499999999999986</v>
      </c>
      <c r="W28" s="551">
        <f>T28/T31</f>
        <v>0.6521801889752796</v>
      </c>
      <c r="X28" s="200">
        <f>VLOOKUP($A28,Grig1!$A$6:$P$58,11,0)</f>
        <v>23</v>
      </c>
      <c r="Y28" s="200">
        <f>VLOOKUP($A28,Grig1!$A$6:$P$58,12,0)</f>
        <v>20</v>
      </c>
      <c r="Z28" s="548">
        <f t="shared" si="6"/>
        <v>0.15</v>
      </c>
      <c r="AA28" s="196">
        <f>X28/VLOOKUP($A28,Население!$A$1:$B$27,2,0)*100000</f>
        <v>12.296177492649024</v>
      </c>
      <c r="AB28" s="196">
        <f>Y28/VLOOKUP($A28,Население!$A$1:$B$27,2,0)*100000</f>
        <v>10.692328254477413</v>
      </c>
      <c r="AC28" s="549">
        <f t="shared" si="7"/>
        <v>0.14999999999999986</v>
      </c>
      <c r="AD28" s="196">
        <f>AA28/AA31</f>
        <v>1.3690607935235042</v>
      </c>
      <c r="AE28" s="196">
        <f>H28/H31</f>
        <v>0.48859357991162067</v>
      </c>
    </row>
    <row r="29" spans="1:31" ht="18.75">
      <c r="A29" s="201" t="str">
        <f>Grig1!A$9</f>
        <v>Калининский</v>
      </c>
      <c r="B29" s="190">
        <f>VLOOKUP($A29,Grig1!$A$6:$P$58,2,0)</f>
        <v>90</v>
      </c>
      <c r="C29" s="200">
        <f>VLOOKUP($A29,Grig1!$A$6:$P$58,3,0)</f>
        <v>92</v>
      </c>
      <c r="D29" s="192">
        <f t="shared" si="0"/>
        <v>-0.021739130434782653</v>
      </c>
      <c r="E29" s="193">
        <f>VLOOKUP($A29,Grig1!$A$6:$P$58,5,0)</f>
        <v>7582326</v>
      </c>
      <c r="F29" s="194">
        <f>VLOOKUP($A29,Grig1!$A$6:$P$58,6,0)</f>
        <v>4153100</v>
      </c>
      <c r="G29" s="192">
        <f t="shared" si="1"/>
        <v>0.825702728082637</v>
      </c>
      <c r="H29" s="195">
        <f>B29/VLOOKUP($A29,Население!$A$1:$B$27,2,0)*100000</f>
        <v>60.02881383063871</v>
      </c>
      <c r="I29" s="196">
        <f>C29/VLOOKUP($A29,Население!$A$1:$B$27,2,0)*100000</f>
        <v>61.36278747131957</v>
      </c>
      <c r="J29" s="192">
        <f t="shared" si="2"/>
        <v>-0.021739130434782653</v>
      </c>
      <c r="K29" s="193">
        <f t="shared" si="8"/>
        <v>84248.06666666667</v>
      </c>
      <c r="L29" s="194">
        <f t="shared" si="8"/>
        <v>45142.391304347824</v>
      </c>
      <c r="M29" s="192">
        <f t="shared" si="3"/>
        <v>0.8662738998178068</v>
      </c>
      <c r="N29" s="195">
        <f>E29/VLOOKUP($A29,Население!$A$1:$B$27,2,0)</f>
        <v>50.57311509524572</v>
      </c>
      <c r="O29" s="196">
        <f>F29/VLOOKUP($A29,Население!$A$1:$B$27,2,0)</f>
        <v>27.7006296355584</v>
      </c>
      <c r="P29" s="192">
        <f t="shared" si="4"/>
        <v>0.8257027280826372</v>
      </c>
      <c r="Q29" s="190">
        <f>VLOOKUP($A29,Grig1!$A$6:$P$58,8,0)</f>
        <v>7</v>
      </c>
      <c r="R29" s="200">
        <f>VLOOKUP($A29,Grig1!$A$6:$P$58,9,0)</f>
        <v>5</v>
      </c>
      <c r="S29" s="192">
        <f t="shared" si="5"/>
        <v>0.4</v>
      </c>
      <c r="T29" s="195">
        <f>Q29/VLOOKUP($A29,Население!$A$1:$B$27,2,0)*100000</f>
        <v>4.66890774238301</v>
      </c>
      <c r="U29" s="196">
        <f>R29/VLOOKUP($A29,Население!$A$1:$B$27,2,0)*100000</f>
        <v>3.3349341017021503</v>
      </c>
      <c r="V29" s="550">
        <f t="shared" si="9"/>
        <v>0.3999999999999997</v>
      </c>
      <c r="W29" s="552">
        <f>T29/T31</f>
        <v>0.6328460849613611</v>
      </c>
      <c r="X29" s="200">
        <f>VLOOKUP($A29,Grig1!$A$6:$P$58,11,0)</f>
        <v>16</v>
      </c>
      <c r="Y29" s="200">
        <f>VLOOKUP($A29,Grig1!$A$6:$P$58,12,0)</f>
        <v>17</v>
      </c>
      <c r="Z29" s="548">
        <f t="shared" si="6"/>
        <v>-0.058823529411764636</v>
      </c>
      <c r="AA29" s="196">
        <f>X29/VLOOKUP($A29,Население!$A$1:$B$27,2,0)*100000</f>
        <v>10.671789125446882</v>
      </c>
      <c r="AB29" s="196">
        <f>Y29/VLOOKUP($A29,Население!$A$1:$B$27,2,0)*100000</f>
        <v>11.338775945787312</v>
      </c>
      <c r="AC29" s="549">
        <f t="shared" si="7"/>
        <v>-0.058823529411764636</v>
      </c>
      <c r="AD29" s="196">
        <f>AA29/AA31</f>
        <v>1.188200812580515</v>
      </c>
      <c r="AE29" s="196">
        <f>H29/H31</f>
        <v>0.7218577742774585</v>
      </c>
    </row>
    <row r="30" spans="1:31" ht="18.75">
      <c r="A30" s="203" t="str">
        <f>Grig1!A$6</f>
        <v>г.Чебоксары</v>
      </c>
      <c r="B30" s="204">
        <f>VLOOKUP($A30,Grig1!$A$6:$P$58,2,0)</f>
        <v>228</v>
      </c>
      <c r="C30" s="205">
        <f>VLOOKUP($A30,Grig1!$A$6:$P$58,3,0)</f>
        <v>234</v>
      </c>
      <c r="D30" s="206">
        <f>IF(C30=0,"--",(((B30*100)/C30)-100)/100)</f>
        <v>-0.025641025641025692</v>
      </c>
      <c r="E30" s="207">
        <f>VLOOKUP($A30,Grig1!$A$6:$P$58,5,0)</f>
        <v>19722406</v>
      </c>
      <c r="F30" s="208">
        <f>VLOOKUP($A30,Grig1!$A$6:$P$58,6,0)</f>
        <v>14008557</v>
      </c>
      <c r="G30" s="206">
        <f>IF(F30=0,"--",(((E30*100)/F30)-100)/100)</f>
        <v>0.40788276765408454</v>
      </c>
      <c r="H30" s="226">
        <f>B30/VLOOKUP($A30,Население!$A$1:$B$27,2,0)*100000</f>
        <v>49.52398329217195</v>
      </c>
      <c r="I30" s="227">
        <f>C30/VLOOKUP($A30,Население!$A$1:$B$27,2,0)*100000</f>
        <v>50.82724601038701</v>
      </c>
      <c r="J30" s="206">
        <f>IF(I30=0,"--",(((H30*100)/I30)-100)/100)</f>
        <v>-0.025641025641025692</v>
      </c>
      <c r="K30" s="207">
        <f>E30/B30</f>
        <v>86501.78070175438</v>
      </c>
      <c r="L30" s="208">
        <f>F30/C30</f>
        <v>59865.6282051282</v>
      </c>
      <c r="M30" s="206">
        <f>IF(L30=0,"--",(((K30*100)/L30)-100)/100)</f>
        <v>0.44493231417129747</v>
      </c>
      <c r="N30" s="226">
        <f>E30/VLOOKUP($A30,Население!$A$1:$B$27,2,0)</f>
        <v>42.83912742216806</v>
      </c>
      <c r="O30" s="227">
        <f>F30/VLOOKUP($A30,Население!$A$1:$B$27,2,0)</f>
        <v>30.42805012348414</v>
      </c>
      <c r="P30" s="206">
        <f>IF(O30=0,"--",(((N30*100)/O30)-100)/100)</f>
        <v>0.40788276765408454</v>
      </c>
      <c r="Q30" s="204">
        <f>VLOOKUP($A30,Grig1!$A$6:$P$58,8,0)</f>
        <v>21</v>
      </c>
      <c r="R30" s="205">
        <f>VLOOKUP($A30,Grig1!$A$6:$P$58,9,0)</f>
        <v>16</v>
      </c>
      <c r="S30" s="206">
        <f>IF(R30=0,"--",(((Q30*100)/R30)-100)/100)</f>
        <v>0.3125</v>
      </c>
      <c r="T30" s="226">
        <f>Q30/VLOOKUP($A30,Население!$A$1:$B$27,2,0)*100000</f>
        <v>4.561419513752679</v>
      </c>
      <c r="U30" s="227">
        <f>R30/VLOOKUP($A30,Население!$A$1:$B$27,2,0)*100000</f>
        <v>3.4753672485734706</v>
      </c>
      <c r="V30" s="553">
        <f>IF(U30=0,"--",(((T30*100)/U30)-100)/100)</f>
        <v>0.3124999999999997</v>
      </c>
      <c r="W30" s="554">
        <f>T30/T31</f>
        <v>0.618276616378669</v>
      </c>
      <c r="X30" s="200">
        <f>VLOOKUP($A30,Grig1!$A$6:$P$58,11,0)</f>
        <v>49</v>
      </c>
      <c r="Y30" s="200">
        <f>VLOOKUP($A30,Grig1!$A$6:$P$58,12,0)</f>
        <v>44</v>
      </c>
      <c r="Z30" s="548">
        <f t="shared" si="6"/>
        <v>0.11363636363636359</v>
      </c>
      <c r="AA30" s="196">
        <f>X30/VLOOKUP($A30,Население!$A$1:$B$27,2,0)*100000</f>
        <v>10.643312198756252</v>
      </c>
      <c r="AB30" s="196">
        <f>Y30/VLOOKUP($A30,Население!$A$1:$B$27,2,0)*100000</f>
        <v>9.557259933577043</v>
      </c>
      <c r="AC30" s="549">
        <f t="shared" si="7"/>
        <v>0.11363636363636359</v>
      </c>
      <c r="AD30" s="196">
        <f>AA30/AA31</f>
        <v>1.1850301813924493</v>
      </c>
      <c r="AE30" s="196">
        <f>H30/H31</f>
        <v>0.5955352116985335</v>
      </c>
    </row>
    <row r="31" spans="1:31" ht="18.75">
      <c r="A31" s="212" t="str">
        <f>Grig1!A$58</f>
        <v>По республике</v>
      </c>
      <c r="B31" s="213">
        <f>SUM(B5:B29)</f>
        <v>1037</v>
      </c>
      <c r="C31" s="214">
        <f>SUM(C5:C29)</f>
        <v>1087</v>
      </c>
      <c r="D31" s="215">
        <f t="shared" si="0"/>
        <v>-0.04599816007359706</v>
      </c>
      <c r="E31" s="216">
        <f>SUM(E5:E29)</f>
        <v>75244277</v>
      </c>
      <c r="F31" s="217">
        <f>SUM(F5:F29)</f>
        <v>63029867</v>
      </c>
      <c r="G31" s="215">
        <f t="shared" si="1"/>
        <v>0.1937876530819905</v>
      </c>
      <c r="H31" s="218">
        <f>B31/VLOOKUP($A31,Население!$A$1:$B$27,2,0)*100000</f>
        <v>83.15878275429587</v>
      </c>
      <c r="I31" s="219">
        <f>C31/VLOOKUP($A31,Население!$A$1:$B$27,2,0)*100000</f>
        <v>87.16836726511052</v>
      </c>
      <c r="J31" s="215">
        <f t="shared" si="2"/>
        <v>-0.04599816007359706</v>
      </c>
      <c r="K31" s="216">
        <f t="shared" si="8"/>
        <v>72559.57280617165</v>
      </c>
      <c r="L31" s="217">
        <f t="shared" si="8"/>
        <v>57985.158233670656</v>
      </c>
      <c r="M31" s="215">
        <f t="shared" si="3"/>
        <v>0.2513473277725397</v>
      </c>
      <c r="N31" s="218">
        <f>E31/VLOOKUP($A31,Население!$A$1:$B$27,2,0)</f>
        <v>60.33965751732942</v>
      </c>
      <c r="O31" s="219">
        <f>F31/VLOOKUP($A31,Население!$A$1:$B$27,2,0)</f>
        <v>50.54471568838151</v>
      </c>
      <c r="P31" s="215">
        <f t="shared" si="4"/>
        <v>0.1937876530819905</v>
      </c>
      <c r="Q31" s="213">
        <f>VLOOKUP($A31,Grig1!$A$6:$P$58,8,0)</f>
        <v>92</v>
      </c>
      <c r="R31" s="214">
        <f>VLOOKUP($A31,Grig1!$A$6:$P$58,9,0)</f>
        <v>102</v>
      </c>
      <c r="S31" s="215">
        <f t="shared" si="5"/>
        <v>-0.09803921568627444</v>
      </c>
      <c r="T31" s="218">
        <f>Q31/VLOOKUP($A31,Население!$A$1:$B$27,2,0)*100000</f>
        <v>7.377635499898959</v>
      </c>
      <c r="U31" s="219">
        <f>R31/VLOOKUP($A31,Население!$A$1:$B$27,2,0)*100000</f>
        <v>8.179552402061889</v>
      </c>
      <c r="V31" s="555">
        <f t="shared" si="9"/>
        <v>-0.0980392156862743</v>
      </c>
      <c r="W31" s="554">
        <f>T31/T31</f>
        <v>1</v>
      </c>
      <c r="X31" s="200">
        <f>VLOOKUP($A31,Grig1!$A$6:$P$58,11,0)</f>
        <v>112</v>
      </c>
      <c r="Y31" s="200">
        <f>VLOOKUP($A31,Grig1!$A$6:$P$58,12,0)</f>
        <v>96</v>
      </c>
      <c r="Z31" s="548">
        <f t="shared" si="6"/>
        <v>0.1666666666666667</v>
      </c>
      <c r="AA31" s="196">
        <f>X31/VLOOKUP($A31,Население!$A$1:$B$27,2,0)*100000</f>
        <v>8.981469304224818</v>
      </c>
      <c r="AB31" s="196">
        <f>Y31/VLOOKUP($A31,Население!$A$1:$B$27,2,0)*100000</f>
        <v>7.698402260764131</v>
      </c>
      <c r="AC31" s="549">
        <f t="shared" si="7"/>
        <v>0.16666666666666657</v>
      </c>
      <c r="AD31" s="196">
        <f>AA31/AA31</f>
        <v>1</v>
      </c>
      <c r="AE31" s="196">
        <f>H31/H31</f>
        <v>1</v>
      </c>
    </row>
  </sheetData>
  <sheetProtection selectLockedCells="1" selectUnlockedCells="1"/>
  <mergeCells count="11">
    <mergeCell ref="T3:V3"/>
    <mergeCell ref="X3:Z3"/>
    <mergeCell ref="AA3:AC3"/>
    <mergeCell ref="A1:S1"/>
    <mergeCell ref="A2:S2"/>
    <mergeCell ref="B3:D3"/>
    <mergeCell ref="E3:G3"/>
    <mergeCell ref="H3:J3"/>
    <mergeCell ref="K3:M3"/>
    <mergeCell ref="N3:P3"/>
    <mergeCell ref="Q3:S3"/>
  </mergeCells>
  <printOptions/>
  <pageMargins left="0.39375" right="0.39375" top="0.7875" bottom="0.39375" header="0.5118055555555555" footer="0.511805555555555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115" zoomScaleSheetLayoutView="115" workbookViewId="0" topLeftCell="A25">
      <selection activeCell="H11" sqref="H11"/>
    </sheetView>
  </sheetViews>
  <sheetFormatPr defaultColWidth="9.140625" defaultRowHeight="12.75"/>
  <cols>
    <col min="1" max="1" width="34.140625" style="59" customWidth="1"/>
    <col min="2" max="2" width="5.00390625" style="60" customWidth="1"/>
    <col min="3" max="3" width="5.140625" style="60" customWidth="1"/>
    <col min="4" max="4" width="6.00390625" style="60" customWidth="1"/>
    <col min="5" max="5" width="9.8515625" style="60" customWidth="1"/>
    <col min="6" max="6" width="9.00390625" style="60" customWidth="1"/>
    <col min="7" max="7" width="6.421875" style="60" customWidth="1"/>
    <col min="8" max="8" width="5.140625" style="60" customWidth="1"/>
    <col min="9" max="9" width="5.00390625" style="60" customWidth="1"/>
    <col min="10" max="10" width="6.00390625" style="60" customWidth="1"/>
    <col min="11" max="12" width="5.00390625" style="60" customWidth="1"/>
    <col min="13" max="13" width="6.00390625" style="60" customWidth="1"/>
    <col min="14" max="15" width="5.00390625" style="60" customWidth="1"/>
    <col min="16" max="16" width="6.00390625" style="60" customWidth="1"/>
    <col min="17" max="16384" width="9.140625" style="60" customWidth="1"/>
  </cols>
  <sheetData>
    <row r="1" spans="1:16" ht="12" customHeight="1">
      <c r="A1" s="560" t="str">
        <f>Grig1!A2</f>
        <v> Сведения по пожарам в Чувашской Республике с 00ч.00мин. 01.01.2012г. по 00ч.00мин. 20.12.2012г.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</row>
    <row r="2" spans="1:10" ht="12">
      <c r="A2" s="61"/>
      <c r="B2" s="62"/>
      <c r="C2" s="63"/>
      <c r="D2" s="62"/>
      <c r="E2" s="62"/>
      <c r="F2" s="62"/>
      <c r="G2" s="62"/>
      <c r="H2" s="62"/>
      <c r="I2" s="62"/>
      <c r="J2" s="62"/>
    </row>
    <row r="3" spans="1:10" ht="12">
      <c r="A3" s="61"/>
      <c r="B3" s="62"/>
      <c r="C3" s="63"/>
      <c r="D3" s="62"/>
      <c r="E3" s="62"/>
      <c r="F3" s="62"/>
      <c r="G3" s="62"/>
      <c r="H3" s="62"/>
      <c r="I3" s="62"/>
      <c r="J3" s="62"/>
    </row>
    <row r="4" spans="1:16" ht="12" customHeight="1">
      <c r="A4" s="64" t="s">
        <v>66</v>
      </c>
      <c r="B4" s="561" t="s">
        <v>3</v>
      </c>
      <c r="C4" s="561"/>
      <c r="D4" s="561"/>
      <c r="E4" s="561" t="s">
        <v>4</v>
      </c>
      <c r="F4" s="561"/>
      <c r="G4" s="561"/>
      <c r="H4" s="562" t="s">
        <v>5</v>
      </c>
      <c r="I4" s="562"/>
      <c r="J4" s="562"/>
      <c r="K4" s="561" t="s">
        <v>67</v>
      </c>
      <c r="L4" s="561"/>
      <c r="M4" s="561"/>
      <c r="N4" s="561" t="s">
        <v>8</v>
      </c>
      <c r="O4" s="561"/>
      <c r="P4" s="561"/>
    </row>
    <row r="5" spans="1:16" ht="12">
      <c r="A5" s="66"/>
      <c r="B5" s="67">
        <v>2012</v>
      </c>
      <c r="C5" s="68">
        <v>2011</v>
      </c>
      <c r="D5" s="69" t="s">
        <v>9</v>
      </c>
      <c r="E5" s="70">
        <f>B5</f>
        <v>2012</v>
      </c>
      <c r="F5" s="68">
        <f>C5</f>
        <v>2011</v>
      </c>
      <c r="G5" s="71" t="s">
        <v>9</v>
      </c>
      <c r="H5" s="72">
        <f>B5</f>
        <v>2012</v>
      </c>
      <c r="I5" s="73">
        <f>C5</f>
        <v>2011</v>
      </c>
      <c r="J5" s="74" t="s">
        <v>9</v>
      </c>
      <c r="K5" s="75">
        <f>B5</f>
        <v>2012</v>
      </c>
      <c r="L5" s="73">
        <f>C5</f>
        <v>2011</v>
      </c>
      <c r="M5" s="71" t="s">
        <v>9</v>
      </c>
      <c r="N5" s="72">
        <f>B5</f>
        <v>2012</v>
      </c>
      <c r="O5" s="73">
        <f>C5</f>
        <v>2011</v>
      </c>
      <c r="P5" s="69" t="s">
        <v>9</v>
      </c>
    </row>
    <row r="6" spans="1:16" ht="12">
      <c r="A6" s="65" t="s">
        <v>68</v>
      </c>
      <c r="B6" s="76">
        <f>Grig1!B58</f>
        <v>1037</v>
      </c>
      <c r="C6" s="77">
        <f>Grig1!C58</f>
        <v>1087</v>
      </c>
      <c r="D6" s="78" t="str">
        <f aca="true" t="shared" si="0" ref="D6:D36">IF(C6&lt;&gt;0,TEXT(((B6-C6)/C6)*100,"0,0"),"--")</f>
        <v>-4,6</v>
      </c>
      <c r="E6" s="79">
        <f>Grig1!E58</f>
        <v>75244277</v>
      </c>
      <c r="F6" s="77">
        <f>Grig1!F58</f>
        <v>63029867</v>
      </c>
      <c r="G6" s="80" t="str">
        <f aca="true" t="shared" si="1" ref="G6:G36">IF(F6&lt;&gt;0,TEXT(((E6-F6)/F6)*100,"0,0"),"--")</f>
        <v>19,4</v>
      </c>
      <c r="H6" s="76">
        <f>Grig1!H58</f>
        <v>92</v>
      </c>
      <c r="I6" s="77">
        <f>Grig1!I58</f>
        <v>102</v>
      </c>
      <c r="J6" s="81" t="str">
        <f aca="true" t="shared" si="2" ref="J6:J36">IF(I6&lt;&gt;0,TEXT(((H6-I6)/I6)*100,"0,0"),"--")</f>
        <v>-9,8</v>
      </c>
      <c r="K6" s="79">
        <f>Grig1!K58</f>
        <v>112</v>
      </c>
      <c r="L6" s="77">
        <f>Grig1!L58</f>
        <v>96</v>
      </c>
      <c r="M6" s="80" t="str">
        <f aca="true" t="shared" si="3" ref="M6:M36">IF(L6&lt;&gt;0,TEXT(((K6-L6)/L6)*100,"0,0"),"--")</f>
        <v>16,7</v>
      </c>
      <c r="N6" s="76">
        <f>Grig1!N58</f>
        <v>357</v>
      </c>
      <c r="O6" s="77">
        <f>Grig1!O58</f>
        <v>393</v>
      </c>
      <c r="P6" s="78" t="str">
        <f aca="true" t="shared" si="4" ref="P6:P36">IF(O6&lt;&gt;0,TEXT(((N6-O6)/O6)*100,"0,0"),"--")</f>
        <v>-9,2</v>
      </c>
    </row>
    <row r="7" spans="1:16" ht="12">
      <c r="A7" s="82" t="s">
        <v>69</v>
      </c>
      <c r="B7" s="72"/>
      <c r="C7" s="73"/>
      <c r="D7" s="69" t="str">
        <f t="shared" si="0"/>
        <v>--</v>
      </c>
      <c r="E7" s="72"/>
      <c r="F7" s="73"/>
      <c r="G7" s="71" t="str">
        <f t="shared" si="1"/>
        <v>--</v>
      </c>
      <c r="H7" s="72"/>
      <c r="I7" s="73"/>
      <c r="J7" s="74" t="str">
        <f t="shared" si="2"/>
        <v>--</v>
      </c>
      <c r="K7" s="72"/>
      <c r="L7" s="73"/>
      <c r="M7" s="71" t="str">
        <f t="shared" si="3"/>
        <v>--</v>
      </c>
      <c r="N7" s="72"/>
      <c r="O7" s="73"/>
      <c r="P7" s="69" t="str">
        <f t="shared" si="4"/>
        <v>--</v>
      </c>
    </row>
    <row r="8" spans="1:18" ht="12">
      <c r="A8" s="65" t="s">
        <v>70</v>
      </c>
      <c r="B8" s="76">
        <f>'2009-2010'!T60</f>
        <v>16</v>
      </c>
      <c r="C8" s="77">
        <f>'2009-2010'!B60</f>
        <v>18</v>
      </c>
      <c r="D8" s="78" t="str">
        <f t="shared" si="0"/>
        <v>-11,1</v>
      </c>
      <c r="E8" s="76">
        <f>'2009-2010'!U60</f>
        <v>3708725</v>
      </c>
      <c r="F8" s="77">
        <f>'2009-2010'!C60</f>
        <v>815981</v>
      </c>
      <c r="G8" s="80" t="str">
        <f t="shared" si="1"/>
        <v>354,5</v>
      </c>
      <c r="H8" s="76">
        <f>'2009-2010'!V60</f>
        <v>2</v>
      </c>
      <c r="I8" s="77">
        <f>'2009-2010'!D60</f>
        <v>0</v>
      </c>
      <c r="J8" s="81" t="str">
        <f t="shared" si="2"/>
        <v>--</v>
      </c>
      <c r="K8" s="76">
        <f>'2009-2010'!W60</f>
        <v>0</v>
      </c>
      <c r="L8" s="77">
        <f>'2009-2010'!E60</f>
        <v>2</v>
      </c>
      <c r="M8" s="80" t="str">
        <f t="shared" si="3"/>
        <v>-100,0</v>
      </c>
      <c r="N8" s="76">
        <f>'2009-2010'!X60</f>
        <v>9</v>
      </c>
      <c r="O8" s="77">
        <f>'2009-2010'!F60</f>
        <v>0</v>
      </c>
      <c r="P8" s="78" t="str">
        <f t="shared" si="4"/>
        <v>--</v>
      </c>
      <c r="R8" s="60">
        <f>SUM(C8:C27)-C12</f>
        <v>1085</v>
      </c>
    </row>
    <row r="9" spans="1:16" ht="12">
      <c r="A9" s="83" t="s">
        <v>71</v>
      </c>
      <c r="B9" s="84">
        <f>'2009-2010'!T61</f>
        <v>12</v>
      </c>
      <c r="C9" s="85">
        <f>'2009-2010'!B61</f>
        <v>15</v>
      </c>
      <c r="D9" s="86" t="str">
        <f t="shared" si="0"/>
        <v>-20,0</v>
      </c>
      <c r="E9" s="84">
        <f>'2009-2010'!U61</f>
        <v>3566403</v>
      </c>
      <c r="F9" s="85">
        <f>'2009-2010'!C61</f>
        <v>1422051</v>
      </c>
      <c r="G9" s="87" t="str">
        <f t="shared" si="1"/>
        <v>150,8</v>
      </c>
      <c r="H9" s="84">
        <f>'2009-2010'!V61</f>
        <v>0</v>
      </c>
      <c r="I9" s="85">
        <f>'2009-2010'!D61</f>
        <v>0</v>
      </c>
      <c r="J9" s="88" t="str">
        <f t="shared" si="2"/>
        <v>--</v>
      </c>
      <c r="K9" s="84">
        <f>'2009-2010'!W61</f>
        <v>0</v>
      </c>
      <c r="L9" s="85">
        <f>'2009-2010'!E61</f>
        <v>0</v>
      </c>
      <c r="M9" s="87" t="str">
        <f t="shared" si="3"/>
        <v>--</v>
      </c>
      <c r="N9" s="84">
        <f>'2009-2010'!X61</f>
        <v>10</v>
      </c>
      <c r="O9" s="85">
        <f>'2009-2010'!F61</f>
        <v>0</v>
      </c>
      <c r="P9" s="86" t="str">
        <f t="shared" si="4"/>
        <v>--</v>
      </c>
    </row>
    <row r="10" spans="1:16" ht="36">
      <c r="A10" s="83" t="s">
        <v>72</v>
      </c>
      <c r="B10" s="84">
        <f>'2009-2010'!T62</f>
        <v>12</v>
      </c>
      <c r="C10" s="85">
        <f>'2009-2010'!B62</f>
        <v>19</v>
      </c>
      <c r="D10" s="86" t="str">
        <f t="shared" si="0"/>
        <v>-36,8</v>
      </c>
      <c r="E10" s="84">
        <f>'2009-2010'!U62</f>
        <v>217141</v>
      </c>
      <c r="F10" s="85">
        <f>'2009-2010'!C62</f>
        <v>434094</v>
      </c>
      <c r="G10" s="87" t="str">
        <f t="shared" si="1"/>
        <v>-50,0</v>
      </c>
      <c r="H10" s="84">
        <f>'2009-2010'!V62</f>
        <v>0</v>
      </c>
      <c r="I10" s="85">
        <f>'2009-2010'!D62</f>
        <v>1</v>
      </c>
      <c r="J10" s="88" t="str">
        <f t="shared" si="2"/>
        <v>-100,0</v>
      </c>
      <c r="K10" s="84">
        <f>'2009-2010'!W62</f>
        <v>4</v>
      </c>
      <c r="L10" s="85">
        <f>'2009-2010'!E62</f>
        <v>2</v>
      </c>
      <c r="M10" s="87" t="str">
        <f t="shared" si="3"/>
        <v>100,0</v>
      </c>
      <c r="N10" s="84">
        <f>'2009-2010'!X62</f>
        <v>0</v>
      </c>
      <c r="O10" s="85">
        <f>'2009-2010'!F62</f>
        <v>0</v>
      </c>
      <c r="P10" s="86" t="str">
        <f t="shared" si="4"/>
        <v>--</v>
      </c>
    </row>
    <row r="11" spans="1:16" ht="24">
      <c r="A11" s="83" t="s">
        <v>73</v>
      </c>
      <c r="B11" s="84">
        <f>'2009-2010'!T63</f>
        <v>785</v>
      </c>
      <c r="C11" s="85">
        <f>'2009-2010'!B63</f>
        <v>854</v>
      </c>
      <c r="D11" s="86" t="str">
        <f t="shared" si="0"/>
        <v>-8,1</v>
      </c>
      <c r="E11" s="84">
        <f>'2009-2010'!U63</f>
        <v>43315954</v>
      </c>
      <c r="F11" s="85">
        <f>'2009-2010'!C63</f>
        <v>43747322</v>
      </c>
      <c r="G11" s="87" t="str">
        <f t="shared" si="1"/>
        <v>-1,0</v>
      </c>
      <c r="H11" s="84">
        <f>'2009-2010'!V63</f>
        <v>88</v>
      </c>
      <c r="I11" s="85">
        <f>'2009-2010'!D63</f>
        <v>99</v>
      </c>
      <c r="J11" s="88" t="str">
        <f t="shared" si="2"/>
        <v>-11,1</v>
      </c>
      <c r="K11" s="84">
        <f>'2009-2010'!W63</f>
        <v>78</v>
      </c>
      <c r="L11" s="85">
        <f>'2009-2010'!E63</f>
        <v>77</v>
      </c>
      <c r="M11" s="87" t="str">
        <f t="shared" si="3"/>
        <v>1,3</v>
      </c>
      <c r="N11" s="84">
        <f>'2009-2010'!X63</f>
        <v>316</v>
      </c>
      <c r="O11" s="85">
        <f>'2009-2010'!F63</f>
        <v>376</v>
      </c>
      <c r="P11" s="86" t="str">
        <f t="shared" si="4"/>
        <v>-16,0</v>
      </c>
    </row>
    <row r="12" spans="1:16" ht="12">
      <c r="A12" s="89" t="s">
        <v>74</v>
      </c>
      <c r="B12" s="90">
        <f>'2009-2010'!T99</f>
        <v>33</v>
      </c>
      <c r="C12" s="91">
        <f>'2009-2010'!B99</f>
        <v>33</v>
      </c>
      <c r="D12" s="86" t="str">
        <f>IF(C12&lt;&gt;0,TEXT(((B12-C12)/C12)*100,"0,0"),"--")</f>
        <v>0,0</v>
      </c>
      <c r="E12" s="89">
        <f>'2009-2010'!U99</f>
        <v>1751000</v>
      </c>
      <c r="F12" s="90">
        <f>'2009-2010'!C99</f>
        <v>1050500</v>
      </c>
      <c r="G12" s="87" t="str">
        <f>IF(F12&lt;&gt;0,TEXT(((E12-F12)/F12)*100,"0,0"),"--")</f>
        <v>66,7</v>
      </c>
      <c r="H12" s="90">
        <f>'2009-2010'!V99</f>
        <v>3</v>
      </c>
      <c r="I12" s="85">
        <f>'2009-2010'!D99</f>
        <v>3</v>
      </c>
      <c r="J12" s="88" t="str">
        <f>IF(I12&lt;&gt;0,TEXT(((H12-I12)/I12)*100,"0,0"),"--")</f>
        <v>0,0</v>
      </c>
      <c r="K12" s="90">
        <f>'2009-2010'!W99</f>
        <v>2</v>
      </c>
      <c r="L12" s="85">
        <f>'2009-2010'!E99</f>
        <v>1</v>
      </c>
      <c r="M12" s="87" t="str">
        <f>IF(L12&lt;&gt;0,TEXT(((K12-L12)/L12)*100,"0,0"),"--")</f>
        <v>100,0</v>
      </c>
      <c r="N12" s="90">
        <f>'2009-2010'!X99</f>
        <v>2</v>
      </c>
      <c r="O12" s="85">
        <f>'2009-2010'!F99</f>
        <v>0</v>
      </c>
      <c r="P12" s="86" t="str">
        <f>IF(O12&lt;&gt;0,TEXT(((N12-O12)/O12)*100,"0,0"),"--")</f>
        <v>--</v>
      </c>
    </row>
    <row r="13" spans="1:16" ht="24">
      <c r="A13" s="83" t="s">
        <v>75</v>
      </c>
      <c r="B13" s="84">
        <f>'2009-2010'!T64</f>
        <v>6</v>
      </c>
      <c r="C13" s="85">
        <f>'2009-2010'!B64</f>
        <v>4</v>
      </c>
      <c r="D13" s="86" t="str">
        <f t="shared" si="0"/>
        <v>50,0</v>
      </c>
      <c r="E13" s="84">
        <f>'2009-2010'!U64</f>
        <v>567000</v>
      </c>
      <c r="F13" s="85">
        <f>'2009-2010'!C64</f>
        <v>1280855</v>
      </c>
      <c r="G13" s="87" t="str">
        <f t="shared" si="1"/>
        <v>-55,7</v>
      </c>
      <c r="H13" s="84">
        <f>'2009-2010'!V64</f>
        <v>0</v>
      </c>
      <c r="I13" s="85">
        <f>'2009-2010'!D64</f>
        <v>0</v>
      </c>
      <c r="J13" s="88" t="str">
        <f t="shared" si="2"/>
        <v>--</v>
      </c>
      <c r="K13" s="84">
        <f>'2009-2010'!W64</f>
        <v>0</v>
      </c>
      <c r="L13" s="85">
        <f>'2009-2010'!E64</f>
        <v>4</v>
      </c>
      <c r="M13" s="87" t="str">
        <f t="shared" si="3"/>
        <v>-100,0</v>
      </c>
      <c r="N13" s="84">
        <f>'2009-2010'!X64</f>
        <v>0</v>
      </c>
      <c r="O13" s="85">
        <f>'2009-2010'!F64</f>
        <v>3</v>
      </c>
      <c r="P13" s="86" t="str">
        <f t="shared" si="4"/>
        <v>-100,0</v>
      </c>
    </row>
    <row r="14" spans="1:16" ht="12">
      <c r="A14" s="83" t="s">
        <v>76</v>
      </c>
      <c r="B14" s="84">
        <f>'2009-2010'!T65</f>
        <v>0</v>
      </c>
      <c r="C14" s="85">
        <f>'2009-2010'!B65</f>
        <v>0</v>
      </c>
      <c r="D14" s="86" t="str">
        <f t="shared" si="0"/>
        <v>--</v>
      </c>
      <c r="E14" s="84">
        <f>'2009-2010'!U65</f>
        <v>0</v>
      </c>
      <c r="F14" s="85">
        <f>'2009-2010'!C65</f>
        <v>0</v>
      </c>
      <c r="G14" s="87" t="str">
        <f t="shared" si="1"/>
        <v>--</v>
      </c>
      <c r="H14" s="84">
        <f>'2009-2010'!V65</f>
        <v>0</v>
      </c>
      <c r="I14" s="85">
        <f>'2009-2010'!D65</f>
        <v>0</v>
      </c>
      <c r="J14" s="88" t="str">
        <f t="shared" si="2"/>
        <v>--</v>
      </c>
      <c r="K14" s="84">
        <f>'2009-2010'!W65</f>
        <v>0</v>
      </c>
      <c r="L14" s="85">
        <f>'2009-2010'!E65</f>
        <v>0</v>
      </c>
      <c r="M14" s="87" t="str">
        <f t="shared" si="3"/>
        <v>--</v>
      </c>
      <c r="N14" s="84">
        <f>'2009-2010'!X65</f>
        <v>0</v>
      </c>
      <c r="O14" s="85">
        <f>'2009-2010'!F65</f>
        <v>0</v>
      </c>
      <c r="P14" s="86" t="str">
        <f t="shared" si="4"/>
        <v>--</v>
      </c>
    </row>
    <row r="15" spans="1:16" ht="12">
      <c r="A15" s="83" t="s">
        <v>77</v>
      </c>
      <c r="B15" s="84">
        <f>'2009-2010'!T67</f>
        <v>0</v>
      </c>
      <c r="C15" s="85">
        <f>'2009-2010'!B67</f>
        <v>0</v>
      </c>
      <c r="D15" s="86" t="str">
        <f t="shared" si="0"/>
        <v>--</v>
      </c>
      <c r="E15" s="84">
        <f>'2009-2010'!U67</f>
        <v>0</v>
      </c>
      <c r="F15" s="85">
        <f>'2009-2010'!C67</f>
        <v>0</v>
      </c>
      <c r="G15" s="87" t="str">
        <f t="shared" si="1"/>
        <v>--</v>
      </c>
      <c r="H15" s="84">
        <f>'2009-2010'!V67</f>
        <v>0</v>
      </c>
      <c r="I15" s="85">
        <f>'2009-2010'!D67</f>
        <v>0</v>
      </c>
      <c r="J15" s="88" t="str">
        <f t="shared" si="2"/>
        <v>--</v>
      </c>
      <c r="K15" s="84">
        <f>'2009-2010'!W67</f>
        <v>0</v>
      </c>
      <c r="L15" s="85">
        <f>'2009-2010'!E67</f>
        <v>0</v>
      </c>
      <c r="M15" s="87" t="str">
        <f t="shared" si="3"/>
        <v>--</v>
      </c>
      <c r="N15" s="84">
        <f>'2009-2010'!X67</f>
        <v>0</v>
      </c>
      <c r="O15" s="85">
        <f>'2009-2010'!F67</f>
        <v>0</v>
      </c>
      <c r="P15" s="86" t="str">
        <f t="shared" si="4"/>
        <v>--</v>
      </c>
    </row>
    <row r="16" spans="1:16" ht="24">
      <c r="A16" s="83" t="s">
        <v>78</v>
      </c>
      <c r="B16" s="84">
        <f>'2009-2010'!T69</f>
        <v>2</v>
      </c>
      <c r="C16" s="85">
        <f>'2009-2010'!B69</f>
        <v>2</v>
      </c>
      <c r="D16" s="86" t="str">
        <f t="shared" si="0"/>
        <v>0,0</v>
      </c>
      <c r="E16" s="84">
        <f>'2009-2010'!U69</f>
        <v>4227</v>
      </c>
      <c r="F16" s="85">
        <f>'2009-2010'!C69</f>
        <v>88527</v>
      </c>
      <c r="G16" s="87" t="str">
        <f t="shared" si="1"/>
        <v>-95,2</v>
      </c>
      <c r="H16" s="84">
        <f>'2009-2010'!V69</f>
        <v>0</v>
      </c>
      <c r="I16" s="85">
        <f>'2009-2010'!D69</f>
        <v>0</v>
      </c>
      <c r="J16" s="88" t="str">
        <f t="shared" si="2"/>
        <v>--</v>
      </c>
      <c r="K16" s="84">
        <f>'2009-2010'!W69</f>
        <v>0</v>
      </c>
      <c r="L16" s="85">
        <f>'2009-2010'!E69</f>
        <v>0</v>
      </c>
      <c r="M16" s="87" t="str">
        <f t="shared" si="3"/>
        <v>--</v>
      </c>
      <c r="N16" s="84">
        <f>'2009-2010'!X69</f>
        <v>0</v>
      </c>
      <c r="O16" s="85">
        <f>'2009-2010'!F69</f>
        <v>0</v>
      </c>
      <c r="P16" s="86" t="str">
        <f t="shared" si="4"/>
        <v>--</v>
      </c>
    </row>
    <row r="17" spans="1:16" ht="24">
      <c r="A17" s="83" t="s">
        <v>79</v>
      </c>
      <c r="B17" s="84">
        <f>'2009-2010'!T70</f>
        <v>5</v>
      </c>
      <c r="C17" s="85">
        <f>'2009-2010'!B70</f>
        <v>8</v>
      </c>
      <c r="D17" s="86" t="str">
        <f t="shared" si="0"/>
        <v>-37,5</v>
      </c>
      <c r="E17" s="84">
        <f>'2009-2010'!U70</f>
        <v>186172</v>
      </c>
      <c r="F17" s="85">
        <f>'2009-2010'!C70</f>
        <v>102100</v>
      </c>
      <c r="G17" s="87" t="str">
        <f t="shared" si="1"/>
        <v>82,3</v>
      </c>
      <c r="H17" s="84">
        <f>'2009-2010'!V70</f>
        <v>0</v>
      </c>
      <c r="I17" s="85">
        <f>'2009-2010'!D70</f>
        <v>1</v>
      </c>
      <c r="J17" s="88" t="str">
        <f t="shared" si="2"/>
        <v>-100,0</v>
      </c>
      <c r="K17" s="84">
        <f>'2009-2010'!W70</f>
        <v>1</v>
      </c>
      <c r="L17" s="85">
        <f>'2009-2010'!E70</f>
        <v>2</v>
      </c>
      <c r="M17" s="87" t="str">
        <f t="shared" si="3"/>
        <v>-50,0</v>
      </c>
      <c r="N17" s="84">
        <f>'2009-2010'!X70</f>
        <v>4</v>
      </c>
      <c r="O17" s="85">
        <f>'2009-2010'!F70</f>
        <v>2</v>
      </c>
      <c r="P17" s="86" t="str">
        <f t="shared" si="4"/>
        <v>100,0</v>
      </c>
    </row>
    <row r="18" spans="1:16" s="96" customFormat="1" ht="24">
      <c r="A18" s="92" t="s">
        <v>80</v>
      </c>
      <c r="B18" s="93">
        <f>'2009-2010'!T71</f>
        <v>2</v>
      </c>
      <c r="C18" s="94">
        <f>'2009-2010'!B71</f>
        <v>0</v>
      </c>
      <c r="D18" s="88" t="str">
        <f t="shared" si="0"/>
        <v>--</v>
      </c>
      <c r="E18" s="93">
        <f>'2009-2010'!U71</f>
        <v>25000</v>
      </c>
      <c r="F18" s="94">
        <f>'2009-2010'!C71</f>
        <v>0</v>
      </c>
      <c r="G18" s="95" t="str">
        <f t="shared" si="1"/>
        <v>--</v>
      </c>
      <c r="H18" s="93">
        <f>'2009-2010'!V71</f>
        <v>0</v>
      </c>
      <c r="I18" s="94">
        <f>'2009-2010'!D71</f>
        <v>0</v>
      </c>
      <c r="J18" s="88" t="str">
        <f t="shared" si="2"/>
        <v>--</v>
      </c>
      <c r="K18" s="93">
        <f>'2009-2010'!W71</f>
        <v>4</v>
      </c>
      <c r="L18" s="94">
        <f>'2009-2010'!E71</f>
        <v>0</v>
      </c>
      <c r="M18" s="95" t="str">
        <f t="shared" si="3"/>
        <v>--</v>
      </c>
      <c r="N18" s="93">
        <f>'2009-2010'!X71</f>
        <v>0</v>
      </c>
      <c r="O18" s="94">
        <f>'2009-2010'!F71</f>
        <v>0</v>
      </c>
      <c r="P18" s="88" t="str">
        <f t="shared" si="4"/>
        <v>--</v>
      </c>
    </row>
    <row r="19" spans="1:16" ht="12">
      <c r="A19" s="83" t="s">
        <v>81</v>
      </c>
      <c r="B19" s="84">
        <f>'2009-2010'!T72</f>
        <v>139</v>
      </c>
      <c r="C19" s="85">
        <f>'2009-2010'!B72</f>
        <v>115</v>
      </c>
      <c r="D19" s="86" t="str">
        <f t="shared" si="0"/>
        <v>20,9</v>
      </c>
      <c r="E19" s="84">
        <f>'2009-2010'!U72</f>
        <v>17024143</v>
      </c>
      <c r="F19" s="85">
        <f>'2009-2010'!C72</f>
        <v>9747664</v>
      </c>
      <c r="G19" s="87" t="str">
        <f t="shared" si="1"/>
        <v>74,6</v>
      </c>
      <c r="H19" s="84">
        <f>'2009-2010'!V72</f>
        <v>0</v>
      </c>
      <c r="I19" s="85">
        <f>'2009-2010'!D72</f>
        <v>0</v>
      </c>
      <c r="J19" s="88" t="str">
        <f t="shared" si="2"/>
        <v>--</v>
      </c>
      <c r="K19" s="84">
        <f>'2009-2010'!W72</f>
        <v>11</v>
      </c>
      <c r="L19" s="85">
        <f>'2009-2010'!E72</f>
        <v>3</v>
      </c>
      <c r="M19" s="87" t="str">
        <f t="shared" si="3"/>
        <v>266,7</v>
      </c>
      <c r="N19" s="84">
        <f>'2009-2010'!X72</f>
        <v>2</v>
      </c>
      <c r="O19" s="85">
        <f>'2009-2010'!F72</f>
        <v>2</v>
      </c>
      <c r="P19" s="86" t="str">
        <f t="shared" si="4"/>
        <v>0,0</v>
      </c>
    </row>
    <row r="20" spans="1:16" ht="24">
      <c r="A20" s="83" t="s">
        <v>82</v>
      </c>
      <c r="B20" s="84">
        <f>'2009-2010'!T73</f>
        <v>12</v>
      </c>
      <c r="C20" s="85">
        <f>'2009-2010'!B73</f>
        <v>19</v>
      </c>
      <c r="D20" s="86" t="str">
        <f t="shared" si="0"/>
        <v>-36,8</v>
      </c>
      <c r="E20" s="84">
        <f>'2009-2010'!U73</f>
        <v>1546000</v>
      </c>
      <c r="F20" s="85">
        <f>'2009-2010'!C73</f>
        <v>3557213</v>
      </c>
      <c r="G20" s="87" t="str">
        <f t="shared" si="1"/>
        <v>-56,5</v>
      </c>
      <c r="H20" s="84">
        <f>'2009-2010'!V73</f>
        <v>0</v>
      </c>
      <c r="I20" s="85">
        <f>'2009-2010'!D73</f>
        <v>0</v>
      </c>
      <c r="J20" s="88" t="str">
        <f t="shared" si="2"/>
        <v>--</v>
      </c>
      <c r="K20" s="84">
        <f>'2009-2010'!W73</f>
        <v>0</v>
      </c>
      <c r="L20" s="85">
        <f>'2009-2010'!E73</f>
        <v>0</v>
      </c>
      <c r="M20" s="87" t="str">
        <f t="shared" si="3"/>
        <v>--</v>
      </c>
      <c r="N20" s="84">
        <f>'2009-2010'!X73</f>
        <v>9</v>
      </c>
      <c r="O20" s="85">
        <f>'2009-2010'!F73</f>
        <v>9</v>
      </c>
      <c r="P20" s="86" t="str">
        <f t="shared" si="4"/>
        <v>0,0</v>
      </c>
    </row>
    <row r="21" spans="1:16" ht="24">
      <c r="A21" s="83" t="s">
        <v>83</v>
      </c>
      <c r="B21" s="84">
        <f>'2009-2010'!T74</f>
        <v>3</v>
      </c>
      <c r="C21" s="85">
        <f>'2009-2010'!B74</f>
        <v>3</v>
      </c>
      <c r="D21" s="86" t="str">
        <f t="shared" si="0"/>
        <v>0,0</v>
      </c>
      <c r="E21" s="84">
        <f>'2009-2010'!U74</f>
        <v>37700</v>
      </c>
      <c r="F21" s="85">
        <f>'2009-2010'!C74</f>
        <v>62300</v>
      </c>
      <c r="G21" s="87" t="str">
        <f t="shared" si="1"/>
        <v>-39,5</v>
      </c>
      <c r="H21" s="84">
        <f>'2009-2010'!V74</f>
        <v>0</v>
      </c>
      <c r="I21" s="85">
        <f>'2009-2010'!D74</f>
        <v>0</v>
      </c>
      <c r="J21" s="88" t="str">
        <f t="shared" si="2"/>
        <v>--</v>
      </c>
      <c r="K21" s="84">
        <f>'2009-2010'!W74</f>
        <v>0</v>
      </c>
      <c r="L21" s="85">
        <f>'2009-2010'!E74</f>
        <v>0</v>
      </c>
      <c r="M21" s="87" t="str">
        <f t="shared" si="3"/>
        <v>--</v>
      </c>
      <c r="N21" s="84">
        <f>'2009-2010'!X74</f>
        <v>0</v>
      </c>
      <c r="O21" s="85">
        <f>'2009-2010'!F74</f>
        <v>0</v>
      </c>
      <c r="P21" s="86" t="str">
        <f t="shared" si="4"/>
        <v>--</v>
      </c>
    </row>
    <row r="22" spans="1:16" ht="36">
      <c r="A22" s="83" t="s">
        <v>84</v>
      </c>
      <c r="B22" s="84">
        <f>'2009-2010'!T75</f>
        <v>1</v>
      </c>
      <c r="C22" s="85">
        <f>'2009-2010'!B75</f>
        <v>1</v>
      </c>
      <c r="D22" s="86" t="str">
        <f t="shared" si="0"/>
        <v>0,0</v>
      </c>
      <c r="E22" s="84">
        <f>'2009-2010'!U75</f>
        <v>248500</v>
      </c>
      <c r="F22" s="85">
        <f>'2009-2010'!C75</f>
        <v>100000</v>
      </c>
      <c r="G22" s="87" t="str">
        <f t="shared" si="1"/>
        <v>148,5</v>
      </c>
      <c r="H22" s="84">
        <f>'2009-2010'!V75</f>
        <v>0</v>
      </c>
      <c r="I22" s="85">
        <f>'2009-2010'!D75</f>
        <v>0</v>
      </c>
      <c r="J22" s="88" t="str">
        <f t="shared" si="2"/>
        <v>--</v>
      </c>
      <c r="K22" s="84">
        <f>'2009-2010'!W75</f>
        <v>0</v>
      </c>
      <c r="L22" s="85">
        <f>'2009-2010'!E75</f>
        <v>0</v>
      </c>
      <c r="M22" s="87" t="str">
        <f t="shared" si="3"/>
        <v>--</v>
      </c>
      <c r="N22" s="84">
        <f>'2009-2010'!X75</f>
        <v>0</v>
      </c>
      <c r="O22" s="85">
        <f>'2009-2010'!F75</f>
        <v>0</v>
      </c>
      <c r="P22" s="86" t="str">
        <f t="shared" si="4"/>
        <v>--</v>
      </c>
    </row>
    <row r="23" spans="1:16" ht="24">
      <c r="A23" s="83" t="s">
        <v>85</v>
      </c>
      <c r="B23" s="84">
        <f>'2009-2010'!T76</f>
        <v>4</v>
      </c>
      <c r="C23" s="85">
        <f>'2009-2010'!B76</f>
        <v>2</v>
      </c>
      <c r="D23" s="86" t="str">
        <f t="shared" si="0"/>
        <v>100,0</v>
      </c>
      <c r="E23" s="84">
        <f>'2009-2010'!U76</f>
        <v>650000</v>
      </c>
      <c r="F23" s="85">
        <f>'2009-2010'!C76</f>
        <v>27860</v>
      </c>
      <c r="G23" s="87" t="str">
        <f t="shared" si="1"/>
        <v>2233,1</v>
      </c>
      <c r="H23" s="84">
        <f>'2009-2010'!V76</f>
        <v>0</v>
      </c>
      <c r="I23" s="85">
        <f>'2009-2010'!D76</f>
        <v>0</v>
      </c>
      <c r="J23" s="88" t="str">
        <f t="shared" si="2"/>
        <v>--</v>
      </c>
      <c r="K23" s="84">
        <f>'2009-2010'!W76</f>
        <v>0</v>
      </c>
      <c r="L23" s="85">
        <f>'2009-2010'!E76</f>
        <v>0</v>
      </c>
      <c r="M23" s="87" t="str">
        <f t="shared" si="3"/>
        <v>--</v>
      </c>
      <c r="N23" s="84">
        <f>'2009-2010'!X76</f>
        <v>7</v>
      </c>
      <c r="O23" s="85">
        <f>'2009-2010'!F76</f>
        <v>0</v>
      </c>
      <c r="P23" s="86" t="str">
        <f t="shared" si="4"/>
        <v>--</v>
      </c>
    </row>
    <row r="24" spans="1:16" ht="12">
      <c r="A24" s="83" t="s">
        <v>86</v>
      </c>
      <c r="B24" s="84">
        <f>'2009-2010'!T77</f>
        <v>9</v>
      </c>
      <c r="C24" s="85">
        <f>'2009-2010'!B77</f>
        <v>4</v>
      </c>
      <c r="D24" s="86" t="str">
        <f t="shared" si="0"/>
        <v>125,0</v>
      </c>
      <c r="E24" s="84">
        <f>'2009-2010'!U77</f>
        <v>1332500</v>
      </c>
      <c r="F24" s="85">
        <f>'2009-2010'!C77</f>
        <v>186000</v>
      </c>
      <c r="G24" s="87" t="str">
        <f t="shared" si="1"/>
        <v>616,4</v>
      </c>
      <c r="H24" s="84">
        <f>'2009-2010'!V77</f>
        <v>1</v>
      </c>
      <c r="I24" s="85">
        <f>'2009-2010'!D77</f>
        <v>0</v>
      </c>
      <c r="J24" s="88" t="str">
        <f t="shared" si="2"/>
        <v>--</v>
      </c>
      <c r="K24" s="84">
        <f>'2009-2010'!W77</f>
        <v>0</v>
      </c>
      <c r="L24" s="85">
        <f>'2009-2010'!E77</f>
        <v>0</v>
      </c>
      <c r="M24" s="87" t="str">
        <f t="shared" si="3"/>
        <v>--</v>
      </c>
      <c r="N24" s="84">
        <f>'2009-2010'!X77</f>
        <v>0</v>
      </c>
      <c r="O24" s="85">
        <f>'2009-2010'!F77</f>
        <v>0</v>
      </c>
      <c r="P24" s="86" t="str">
        <f t="shared" si="4"/>
        <v>--</v>
      </c>
    </row>
    <row r="25" spans="1:16" ht="36">
      <c r="A25" s="83" t="s">
        <v>87</v>
      </c>
      <c r="B25" s="84">
        <f>'2009-2010'!T78</f>
        <v>4</v>
      </c>
      <c r="C25" s="85">
        <f>'2009-2010'!B78</f>
        <v>2</v>
      </c>
      <c r="D25" s="86" t="str">
        <f t="shared" si="0"/>
        <v>100,0</v>
      </c>
      <c r="E25" s="84">
        <f>'2009-2010'!U78</f>
        <v>1949832</v>
      </c>
      <c r="F25" s="85">
        <f>'2009-2010'!C78</f>
        <v>398200</v>
      </c>
      <c r="G25" s="87" t="str">
        <f t="shared" si="1"/>
        <v>389,7</v>
      </c>
      <c r="H25" s="84">
        <f>'2009-2010'!V78</f>
        <v>0</v>
      </c>
      <c r="I25" s="85">
        <f>'2009-2010'!D78</f>
        <v>0</v>
      </c>
      <c r="J25" s="88" t="str">
        <f t="shared" si="2"/>
        <v>--</v>
      </c>
      <c r="K25" s="84">
        <f>'2009-2010'!W78</f>
        <v>0</v>
      </c>
      <c r="L25" s="85">
        <f>'2009-2010'!E78</f>
        <v>0</v>
      </c>
      <c r="M25" s="87" t="str">
        <f t="shared" si="3"/>
        <v>--</v>
      </c>
      <c r="N25" s="84">
        <f>'2009-2010'!X78</f>
        <v>0</v>
      </c>
      <c r="O25" s="85">
        <f>'2009-2010'!F78</f>
        <v>0</v>
      </c>
      <c r="P25" s="86" t="str">
        <f t="shared" si="4"/>
        <v>--</v>
      </c>
    </row>
    <row r="26" spans="1:16" ht="36">
      <c r="A26" s="83" t="s">
        <v>88</v>
      </c>
      <c r="B26" s="84">
        <f>'2009-2010'!T79</f>
        <v>0</v>
      </c>
      <c r="C26" s="85">
        <f>'2009-2010'!B79</f>
        <v>3</v>
      </c>
      <c r="D26" s="86" t="str">
        <f t="shared" si="0"/>
        <v>-100,0</v>
      </c>
      <c r="E26" s="84">
        <f>'2009-2010'!U79</f>
        <v>0</v>
      </c>
      <c r="F26" s="85">
        <f>'2009-2010'!C79</f>
        <v>655000</v>
      </c>
      <c r="G26" s="87" t="str">
        <f t="shared" si="1"/>
        <v>-100,0</v>
      </c>
      <c r="H26" s="84">
        <f>'2009-2010'!V79</f>
        <v>0</v>
      </c>
      <c r="I26" s="85">
        <f>'2009-2010'!D79</f>
        <v>1</v>
      </c>
      <c r="J26" s="88" t="str">
        <f t="shared" si="2"/>
        <v>-100,0</v>
      </c>
      <c r="K26" s="84">
        <f>'2009-2010'!W79</f>
        <v>0</v>
      </c>
      <c r="L26" s="85">
        <f>'2009-2010'!E79</f>
        <v>0</v>
      </c>
      <c r="M26" s="87" t="str">
        <f t="shared" si="3"/>
        <v>--</v>
      </c>
      <c r="N26" s="84">
        <f>'2009-2010'!X79</f>
        <v>0</v>
      </c>
      <c r="O26" s="85">
        <f>'2009-2010'!F79</f>
        <v>0</v>
      </c>
      <c r="P26" s="86" t="str">
        <f t="shared" si="4"/>
        <v>--</v>
      </c>
    </row>
    <row r="27" spans="1:16" ht="12">
      <c r="A27" s="89" t="s">
        <v>89</v>
      </c>
      <c r="B27" s="90">
        <f>'2009-2010'!T80</f>
        <v>22</v>
      </c>
      <c r="C27" s="91">
        <f>'2009-2010'!B80</f>
        <v>16</v>
      </c>
      <c r="D27" s="97" t="str">
        <f t="shared" si="0"/>
        <v>37,5</v>
      </c>
      <c r="E27" s="90">
        <f>'2009-2010'!U80</f>
        <v>461480</v>
      </c>
      <c r="F27" s="91">
        <f>'2009-2010'!C80</f>
        <v>399200</v>
      </c>
      <c r="G27" s="98" t="str">
        <f t="shared" si="1"/>
        <v>15,6</v>
      </c>
      <c r="H27" s="90">
        <f>'2009-2010'!V80</f>
        <v>1</v>
      </c>
      <c r="I27" s="91">
        <f>'2009-2010'!D80</f>
        <v>0</v>
      </c>
      <c r="J27" s="99" t="str">
        <f t="shared" si="2"/>
        <v>--</v>
      </c>
      <c r="K27" s="90">
        <f>'2009-2010'!W80</f>
        <v>14</v>
      </c>
      <c r="L27" s="91">
        <f>'2009-2010'!E80</f>
        <v>6</v>
      </c>
      <c r="M27" s="98" t="str">
        <f t="shared" si="3"/>
        <v>133,3</v>
      </c>
      <c r="N27" s="90">
        <f>'2009-2010'!X80</f>
        <v>0</v>
      </c>
      <c r="O27" s="91">
        <f>'2009-2010'!F80</f>
        <v>1</v>
      </c>
      <c r="P27" s="97" t="str">
        <f t="shared" si="4"/>
        <v>-100,0</v>
      </c>
    </row>
    <row r="28" spans="1:18" ht="36">
      <c r="A28" s="100" t="s">
        <v>90</v>
      </c>
      <c r="B28" s="76">
        <f>'2009-2010'!T81</f>
        <v>141</v>
      </c>
      <c r="C28" s="77">
        <f>'2009-2010'!B81</f>
        <v>129</v>
      </c>
      <c r="D28" s="78" t="str">
        <f t="shared" si="0"/>
        <v>9,3</v>
      </c>
      <c r="E28" s="76">
        <f>'2009-2010'!U81</f>
        <v>12301687</v>
      </c>
      <c r="F28" s="77">
        <f>'2009-2010'!C81</f>
        <v>9563181</v>
      </c>
      <c r="G28" s="80" t="str">
        <f t="shared" si="1"/>
        <v>28,6</v>
      </c>
      <c r="H28" s="76">
        <f>'2009-2010'!V81</f>
        <v>3</v>
      </c>
      <c r="I28" s="77">
        <f>'2009-2010'!D81</f>
        <v>2</v>
      </c>
      <c r="J28" s="81" t="str">
        <f t="shared" si="2"/>
        <v>50,0</v>
      </c>
      <c r="K28" s="76">
        <f>'2009-2010'!W81</f>
        <v>5</v>
      </c>
      <c r="L28" s="77">
        <f>'2009-2010'!E81</f>
        <v>5</v>
      </c>
      <c r="M28" s="80" t="str">
        <f t="shared" si="3"/>
        <v>0,0</v>
      </c>
      <c r="N28" s="76">
        <f>'2009-2010'!X81</f>
        <v>50</v>
      </c>
      <c r="O28" s="77">
        <f>'2009-2010'!F81</f>
        <v>29</v>
      </c>
      <c r="P28" s="78" t="str">
        <f t="shared" si="4"/>
        <v>72,4</v>
      </c>
      <c r="R28" s="60">
        <f>SUM(C28:C33)+SUM(C36:C37)</f>
        <v>1087</v>
      </c>
    </row>
    <row r="29" spans="1:16" ht="36">
      <c r="A29" s="83" t="s">
        <v>91</v>
      </c>
      <c r="B29" s="84">
        <f>'2009-2010'!T82</f>
        <v>3</v>
      </c>
      <c r="C29" s="85">
        <f>'2009-2010'!B82</f>
        <v>4</v>
      </c>
      <c r="D29" s="86" t="str">
        <f t="shared" si="0"/>
        <v>-25,0</v>
      </c>
      <c r="E29" s="84">
        <f>'2009-2010'!U82</f>
        <v>3457497</v>
      </c>
      <c r="F29" s="85">
        <f>'2009-2010'!C82</f>
        <v>107100</v>
      </c>
      <c r="G29" s="87" t="str">
        <f t="shared" si="1"/>
        <v>3128,3</v>
      </c>
      <c r="H29" s="84">
        <f>'2009-2010'!V82</f>
        <v>0</v>
      </c>
      <c r="I29" s="85">
        <f>'2009-2010'!D82</f>
        <v>0</v>
      </c>
      <c r="J29" s="88" t="str">
        <f t="shared" si="2"/>
        <v>--</v>
      </c>
      <c r="K29" s="84">
        <f>'2009-2010'!W82</f>
        <v>0</v>
      </c>
      <c r="L29" s="85">
        <f>'2009-2010'!E82</f>
        <v>0</v>
      </c>
      <c r="M29" s="87" t="str">
        <f t="shared" si="3"/>
        <v>--</v>
      </c>
      <c r="N29" s="84">
        <f>'2009-2010'!X82</f>
        <v>0</v>
      </c>
      <c r="O29" s="85">
        <f>'2009-2010'!F82</f>
        <v>0</v>
      </c>
      <c r="P29" s="86" t="str">
        <f t="shared" si="4"/>
        <v>--</v>
      </c>
    </row>
    <row r="30" spans="1:16" ht="12">
      <c r="A30" s="83" t="s">
        <v>92</v>
      </c>
      <c r="B30" s="84">
        <f>'2009-2010'!T83</f>
        <v>298</v>
      </c>
      <c r="C30" s="85">
        <f>'2009-2010'!B83</f>
        <v>301</v>
      </c>
      <c r="D30" s="86" t="str">
        <f t="shared" si="0"/>
        <v>-1,0</v>
      </c>
      <c r="E30" s="84">
        <f>'2009-2010'!U83</f>
        <v>25111167</v>
      </c>
      <c r="F30" s="85">
        <f>'2009-2010'!C83</f>
        <v>20913757</v>
      </c>
      <c r="G30" s="87" t="str">
        <f t="shared" si="1"/>
        <v>20,1</v>
      </c>
      <c r="H30" s="84">
        <f>'2009-2010'!V83</f>
        <v>13</v>
      </c>
      <c r="I30" s="85">
        <f>'2009-2010'!D83</f>
        <v>23</v>
      </c>
      <c r="J30" s="88" t="str">
        <f t="shared" si="2"/>
        <v>-43,5</v>
      </c>
      <c r="K30" s="84">
        <f>'2009-2010'!W83</f>
        <v>16</v>
      </c>
      <c r="L30" s="85">
        <f>'2009-2010'!E83</f>
        <v>12</v>
      </c>
      <c r="M30" s="87" t="str">
        <f t="shared" si="3"/>
        <v>33,3</v>
      </c>
      <c r="N30" s="84">
        <f>'2009-2010'!X83</f>
        <v>64</v>
      </c>
      <c r="O30" s="85">
        <f>'2009-2010'!F83</f>
        <v>140</v>
      </c>
      <c r="P30" s="86" t="str">
        <f t="shared" si="4"/>
        <v>-54,3</v>
      </c>
    </row>
    <row r="31" spans="1:16" ht="12">
      <c r="A31" s="83" t="s">
        <v>93</v>
      </c>
      <c r="B31" s="84">
        <f>'2009-2010'!T84</f>
        <v>175</v>
      </c>
      <c r="C31" s="85">
        <f>'2009-2010'!B84</f>
        <v>226</v>
      </c>
      <c r="D31" s="86" t="str">
        <f t="shared" si="0"/>
        <v>-22,6</v>
      </c>
      <c r="E31" s="84">
        <f>'2009-2010'!U84</f>
        <v>8761212</v>
      </c>
      <c r="F31" s="85">
        <f>'2009-2010'!C84</f>
        <v>9781048</v>
      </c>
      <c r="G31" s="87" t="str">
        <f t="shared" si="1"/>
        <v>-10,4</v>
      </c>
      <c r="H31" s="84">
        <f>'2009-2010'!V84</f>
        <v>10</v>
      </c>
      <c r="I31" s="85">
        <f>'2009-2010'!D84</f>
        <v>7</v>
      </c>
      <c r="J31" s="88" t="str">
        <f t="shared" si="2"/>
        <v>42,9</v>
      </c>
      <c r="K31" s="84">
        <f>'2009-2010'!W84</f>
        <v>3</v>
      </c>
      <c r="L31" s="85">
        <f>'2009-2010'!E84</f>
        <v>4</v>
      </c>
      <c r="M31" s="87" t="str">
        <f t="shared" si="3"/>
        <v>-25,0</v>
      </c>
      <c r="N31" s="84">
        <f>'2009-2010'!X84</f>
        <v>3</v>
      </c>
      <c r="O31" s="85">
        <f>'2009-2010'!F84</f>
        <v>4</v>
      </c>
      <c r="P31" s="86" t="str">
        <f t="shared" si="4"/>
        <v>-25,0</v>
      </c>
    </row>
    <row r="32" spans="1:16" s="96" customFormat="1" ht="24">
      <c r="A32" s="92" t="s">
        <v>94</v>
      </c>
      <c r="B32" s="93">
        <f>'2009-2010'!T85</f>
        <v>3</v>
      </c>
      <c r="C32" s="94">
        <f>'2009-2010'!B85</f>
        <v>5</v>
      </c>
      <c r="D32" s="88" t="str">
        <f t="shared" si="0"/>
        <v>-40,0</v>
      </c>
      <c r="E32" s="93">
        <f>'2009-2010'!U85</f>
        <v>80250</v>
      </c>
      <c r="F32" s="94">
        <f>'2009-2010'!C85</f>
        <v>260000</v>
      </c>
      <c r="G32" s="95" t="str">
        <f t="shared" si="1"/>
        <v>-69,1</v>
      </c>
      <c r="H32" s="93">
        <f>'2009-2010'!V85</f>
        <v>0</v>
      </c>
      <c r="I32" s="94">
        <f>'2009-2010'!D85</f>
        <v>3</v>
      </c>
      <c r="J32" s="88" t="str">
        <f t="shared" si="2"/>
        <v>-100,0</v>
      </c>
      <c r="K32" s="93">
        <f>'2009-2010'!W85</f>
        <v>0</v>
      </c>
      <c r="L32" s="94">
        <f>'2009-2010'!E85</f>
        <v>2</v>
      </c>
      <c r="M32" s="95" t="str">
        <f t="shared" si="3"/>
        <v>-100,0</v>
      </c>
      <c r="N32" s="93">
        <f>'2009-2010'!X85</f>
        <v>1</v>
      </c>
      <c r="O32" s="94">
        <f>'2009-2010'!F85</f>
        <v>0</v>
      </c>
      <c r="P32" s="88" t="str">
        <f t="shared" si="4"/>
        <v>--</v>
      </c>
    </row>
    <row r="33" spans="1:16" ht="12">
      <c r="A33" s="83" t="s">
        <v>95</v>
      </c>
      <c r="B33" s="84">
        <f>'2009-2010'!T86</f>
        <v>285</v>
      </c>
      <c r="C33" s="85">
        <f>'2009-2010'!B86</f>
        <v>302</v>
      </c>
      <c r="D33" s="86" t="str">
        <f t="shared" si="0"/>
        <v>-5,6</v>
      </c>
      <c r="E33" s="84">
        <f>'2009-2010'!U86</f>
        <v>12685804</v>
      </c>
      <c r="F33" s="85">
        <f>'2009-2010'!C86</f>
        <v>13538712</v>
      </c>
      <c r="G33" s="87" t="str">
        <f t="shared" si="1"/>
        <v>-6,3</v>
      </c>
      <c r="H33" s="84">
        <f>'2009-2010'!V86</f>
        <v>64</v>
      </c>
      <c r="I33" s="85">
        <f>'2009-2010'!D86</f>
        <v>65</v>
      </c>
      <c r="J33" s="88" t="str">
        <f t="shared" si="2"/>
        <v>-1,5</v>
      </c>
      <c r="K33" s="84">
        <f>'2009-2010'!W86</f>
        <v>69</v>
      </c>
      <c r="L33" s="85">
        <f>'2009-2010'!E86</f>
        <v>58</v>
      </c>
      <c r="M33" s="87" t="str">
        <f t="shared" si="3"/>
        <v>19,0</v>
      </c>
      <c r="N33" s="84">
        <f>'2009-2010'!X86</f>
        <v>224</v>
      </c>
      <c r="O33" s="85">
        <f>'2009-2010'!F86</f>
        <v>200</v>
      </c>
      <c r="P33" s="86" t="str">
        <f t="shared" si="4"/>
        <v>12,0</v>
      </c>
    </row>
    <row r="34" spans="1:16" s="106" customFormat="1" ht="12">
      <c r="A34" s="101" t="s">
        <v>96</v>
      </c>
      <c r="B34" s="102">
        <f>'2009-2010'!T87</f>
        <v>148</v>
      </c>
      <c r="C34" s="103">
        <f>'2009-2010'!B87</f>
        <v>161</v>
      </c>
      <c r="D34" s="104" t="str">
        <f t="shared" si="0"/>
        <v>-8,1</v>
      </c>
      <c r="E34" s="102">
        <f>'2009-2010'!U87</f>
        <v>5380300</v>
      </c>
      <c r="F34" s="103">
        <f>'2009-2010'!C87</f>
        <v>6037295</v>
      </c>
      <c r="G34" s="105" t="str">
        <f t="shared" si="1"/>
        <v>-10,9</v>
      </c>
      <c r="H34" s="102">
        <f>'2009-2010'!V87</f>
        <v>60</v>
      </c>
      <c r="I34" s="103">
        <f>'2009-2010'!D87</f>
        <v>55</v>
      </c>
      <c r="J34" s="104" t="str">
        <f t="shared" si="2"/>
        <v>9,1</v>
      </c>
      <c r="K34" s="102">
        <f>'2009-2010'!W87</f>
        <v>34</v>
      </c>
      <c r="L34" s="103">
        <f>'2009-2010'!E87</f>
        <v>32</v>
      </c>
      <c r="M34" s="105" t="str">
        <f t="shared" si="3"/>
        <v>6,3</v>
      </c>
      <c r="N34" s="102">
        <f>'2009-2010'!X87</f>
        <v>125</v>
      </c>
      <c r="O34" s="103">
        <f>'2009-2010'!F87</f>
        <v>130</v>
      </c>
      <c r="P34" s="104" t="str">
        <f t="shared" si="4"/>
        <v>-3,8</v>
      </c>
    </row>
    <row r="35" spans="1:16" s="106" customFormat="1" ht="24">
      <c r="A35" s="107" t="s">
        <v>97</v>
      </c>
      <c r="B35" s="102">
        <f>'2009-2010'!T88</f>
        <v>33</v>
      </c>
      <c r="C35" s="103">
        <f>'2009-2010'!B88</f>
        <v>29</v>
      </c>
      <c r="D35" s="104" t="str">
        <f t="shared" si="0"/>
        <v>13,8</v>
      </c>
      <c r="E35" s="102">
        <f>'2009-2010'!U88</f>
        <v>1690004</v>
      </c>
      <c r="F35" s="103">
        <f>'2009-2010'!C88</f>
        <v>1398173</v>
      </c>
      <c r="G35" s="105" t="str">
        <f t="shared" si="1"/>
        <v>20,9</v>
      </c>
      <c r="H35" s="102">
        <f>'2009-2010'!V88</f>
        <v>1</v>
      </c>
      <c r="I35" s="103">
        <f>'2009-2010'!D88</f>
        <v>2</v>
      </c>
      <c r="J35" s="104" t="str">
        <f t="shared" si="2"/>
        <v>-50,0</v>
      </c>
      <c r="K35" s="102">
        <f>'2009-2010'!W88</f>
        <v>6</v>
      </c>
      <c r="L35" s="103">
        <f>'2009-2010'!E88</f>
        <v>12</v>
      </c>
      <c r="M35" s="105" t="str">
        <f t="shared" si="3"/>
        <v>-50,0</v>
      </c>
      <c r="N35" s="102">
        <f>'2009-2010'!X88</f>
        <v>52</v>
      </c>
      <c r="O35" s="103">
        <f>'2009-2010'!F88</f>
        <v>28</v>
      </c>
      <c r="P35" s="104" t="str">
        <f t="shared" si="4"/>
        <v>85,7</v>
      </c>
    </row>
    <row r="36" spans="1:16" ht="12">
      <c r="A36" s="83" t="s">
        <v>98</v>
      </c>
      <c r="B36" s="84">
        <f>'2009-2010'!T89</f>
        <v>88</v>
      </c>
      <c r="C36" s="85">
        <f>'2009-2010'!B89</f>
        <v>72</v>
      </c>
      <c r="D36" s="86" t="str">
        <f t="shared" si="0"/>
        <v>22,2</v>
      </c>
      <c r="E36" s="84">
        <f>'2009-2010'!U89</f>
        <v>10317920</v>
      </c>
      <c r="F36" s="85">
        <f>'2009-2010'!C89</f>
        <v>6022674</v>
      </c>
      <c r="G36" s="87" t="str">
        <f t="shared" si="1"/>
        <v>71,3</v>
      </c>
      <c r="H36" s="84">
        <f>'2009-2010'!V89</f>
        <v>0</v>
      </c>
      <c r="I36" s="85">
        <f>'2009-2010'!D89</f>
        <v>0</v>
      </c>
      <c r="J36" s="88" t="str">
        <f t="shared" si="2"/>
        <v>--</v>
      </c>
      <c r="K36" s="84">
        <f>'2009-2010'!W89</f>
        <v>1</v>
      </c>
      <c r="L36" s="85">
        <f>'2009-2010'!E89</f>
        <v>1</v>
      </c>
      <c r="M36" s="87" t="str">
        <f t="shared" si="3"/>
        <v>0,0</v>
      </c>
      <c r="N36" s="84">
        <f>'2009-2010'!X89</f>
        <v>1</v>
      </c>
      <c r="O36" s="85">
        <f>'2009-2010'!F89</f>
        <v>1</v>
      </c>
      <c r="P36" s="86" t="str">
        <f t="shared" si="4"/>
        <v>0,0</v>
      </c>
    </row>
    <row r="37" spans="1:16" ht="12">
      <c r="A37" s="83" t="s">
        <v>99</v>
      </c>
      <c r="B37" s="84">
        <f>'2009-2010'!T90</f>
        <v>44</v>
      </c>
      <c r="C37" s="85">
        <f>'2009-2010'!B90</f>
        <v>48</v>
      </c>
      <c r="D37" s="86" t="str">
        <f>IF(C37&lt;&gt;0,TEXT(((B37-C37)/C37)*100,"0,0"),"--")</f>
        <v>-8,3</v>
      </c>
      <c r="E37" s="84">
        <f>'2009-2010'!U90</f>
        <v>2528740</v>
      </c>
      <c r="F37" s="85">
        <f>'2009-2010'!C90</f>
        <v>2843395</v>
      </c>
      <c r="G37" s="87" t="str">
        <f>IF(F37&lt;&gt;0,TEXT(((E37-F37)/F37)*100,"0,0"),"--")</f>
        <v>-11,1</v>
      </c>
      <c r="H37" s="84">
        <f>'2009-2010'!V90</f>
        <v>2</v>
      </c>
      <c r="I37" s="85">
        <f>'2009-2010'!D90</f>
        <v>2</v>
      </c>
      <c r="J37" s="88" t="str">
        <f>IF(I37&lt;&gt;0,TEXT(((H37-I37)/I37)*100,"0,0"),"--")</f>
        <v>0,0</v>
      </c>
      <c r="K37" s="84">
        <f>'2009-2010'!W90</f>
        <v>18</v>
      </c>
      <c r="L37" s="85">
        <f>'2009-2010'!E90</f>
        <v>14</v>
      </c>
      <c r="M37" s="87" t="str">
        <f>IF(L37&lt;&gt;0,TEXT(((K37-L37)/L37)*100,"0,0"),"--")</f>
        <v>28,6</v>
      </c>
      <c r="N37" s="84">
        <f>'2009-2010'!X90</f>
        <v>14</v>
      </c>
      <c r="O37" s="85">
        <f>'2009-2010'!F90</f>
        <v>19</v>
      </c>
      <c r="P37" s="86" t="str">
        <f>IF(O37&lt;&gt;0,TEXT(((N37-O37)/O37)*100,"0,0"),"--")</f>
        <v>-26,3</v>
      </c>
    </row>
    <row r="38" spans="1:16" ht="12">
      <c r="A38" s="86" t="s">
        <v>100</v>
      </c>
      <c r="B38" s="108">
        <f>'2009-2010'!T91</f>
        <v>152</v>
      </c>
      <c r="C38" s="109">
        <f>'2009-2010'!B91</f>
        <v>132</v>
      </c>
      <c r="D38" s="86" t="str">
        <f>IF(C38&lt;&gt;0,TEXT(((B38-C38)/C38)*100,"0,0"),"--")</f>
        <v>15,2</v>
      </c>
      <c r="E38" s="108">
        <f>'2009-2010'!U91</f>
        <v>6457200</v>
      </c>
      <c r="F38" s="109">
        <f>'2009-2010'!C91</f>
        <v>7086895</v>
      </c>
      <c r="G38" s="87" t="str">
        <f>IF(F38&lt;&gt;0,TEXT(((E38-F38)/F38)*100,"0,0"),"--")</f>
        <v>-8,9</v>
      </c>
      <c r="H38" s="108">
        <f>'2009-2010'!V91</f>
        <v>51</v>
      </c>
      <c r="I38" s="109">
        <f>'2009-2010'!D91</f>
        <v>46</v>
      </c>
      <c r="J38" s="88" t="str">
        <f>IF(I38&lt;&gt;0,TEXT(((H38-I38)/I38)*100,"0,0"),"--")</f>
        <v>10,9</v>
      </c>
      <c r="K38" s="108">
        <f>'2009-2010'!W91</f>
        <v>37</v>
      </c>
      <c r="L38" s="109">
        <f>'2009-2010'!E91</f>
        <v>31</v>
      </c>
      <c r="M38" s="87" t="str">
        <f>IF(L38&lt;&gt;0,TEXT(((K38-L38)/L38)*100,"0,0"),"--")</f>
        <v>19,4</v>
      </c>
      <c r="N38" s="108">
        <f>'2009-2010'!X91</f>
        <v>120</v>
      </c>
      <c r="O38" s="109">
        <f>'2009-2010'!F91</f>
        <v>74</v>
      </c>
      <c r="P38" s="86" t="str">
        <f>IF(O38&lt;&gt;0,TEXT(((N38-O38)/O38)*100,"0,0"),"--")</f>
        <v>62,2</v>
      </c>
    </row>
  </sheetData>
  <sheetProtection selectLockedCells="1" selectUnlockedCells="1"/>
  <mergeCells count="6">
    <mergeCell ref="A1:P1"/>
    <mergeCell ref="B4:D4"/>
    <mergeCell ref="E4:G4"/>
    <mergeCell ref="H4:J4"/>
    <mergeCell ref="K4:M4"/>
    <mergeCell ref="N4:P4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Normal="130" zoomScaleSheetLayoutView="100" workbookViewId="0" topLeftCell="A1">
      <pane ySplit="5" topLeftCell="BM6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21.00390625" style="60" customWidth="1"/>
    <col min="2" max="3" width="6.00390625" style="60" customWidth="1"/>
    <col min="4" max="4" width="6.28125" style="60" customWidth="1"/>
    <col min="5" max="5" width="7.00390625" style="60" customWidth="1"/>
    <col min="6" max="6" width="5.140625" style="60" customWidth="1"/>
    <col min="7" max="7" width="6.28125" style="60" customWidth="1"/>
    <col min="8" max="8" width="6.140625" style="60" customWidth="1"/>
    <col min="9" max="11" width="6.28125" style="60" customWidth="1"/>
    <col min="12" max="12" width="6.140625" style="60" customWidth="1"/>
    <col min="13" max="13" width="6.28125" style="60" customWidth="1"/>
    <col min="14" max="16384" width="9.140625" style="60" customWidth="1"/>
  </cols>
  <sheetData>
    <row r="1" spans="1:10" ht="11.25">
      <c r="A1" s="563" t="s">
        <v>101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563" t="str">
        <f>Grig1!A2</f>
        <v> Сведения по пожарам в Чувашской Республике с 00ч.00мин. 01.01.2012г. по 00ч.00мин. 20.12.2012г.</v>
      </c>
      <c r="B2" s="563"/>
      <c r="C2" s="563"/>
      <c r="D2" s="563"/>
      <c r="E2" s="563"/>
      <c r="F2" s="563"/>
      <c r="G2" s="563"/>
      <c r="H2" s="563"/>
      <c r="I2" s="563"/>
      <c r="J2" s="563"/>
    </row>
    <row r="3" spans="1:10" ht="11.25">
      <c r="A3" s="62"/>
      <c r="B3" s="62"/>
      <c r="C3" s="63"/>
      <c r="D3" s="62"/>
      <c r="E3" s="62"/>
      <c r="F3" s="62"/>
      <c r="G3" s="62"/>
      <c r="H3" s="62"/>
      <c r="I3" s="62"/>
      <c r="J3" s="62"/>
    </row>
    <row r="4" spans="1:13" ht="11.25">
      <c r="A4" s="110" t="s">
        <v>2</v>
      </c>
      <c r="B4" s="564" t="s">
        <v>102</v>
      </c>
      <c r="C4" s="564"/>
      <c r="D4" s="564"/>
      <c r="E4" s="564" t="s">
        <v>103</v>
      </c>
      <c r="F4" s="564"/>
      <c r="G4" s="564"/>
      <c r="H4" s="564" t="s">
        <v>104</v>
      </c>
      <c r="I4" s="564"/>
      <c r="J4" s="564"/>
      <c r="K4" s="564" t="s">
        <v>105</v>
      </c>
      <c r="L4" s="564"/>
      <c r="M4" s="564"/>
    </row>
    <row r="5" spans="1:13" ht="12">
      <c r="A5" s="111"/>
      <c r="B5" s="112">
        <v>2012</v>
      </c>
      <c r="C5" s="113">
        <v>2011</v>
      </c>
      <c r="D5" s="114" t="s">
        <v>9</v>
      </c>
      <c r="E5" s="112">
        <f>B5</f>
        <v>2012</v>
      </c>
      <c r="F5" s="115">
        <f>C5</f>
        <v>2011</v>
      </c>
      <c r="G5" s="114" t="s">
        <v>9</v>
      </c>
      <c r="H5" s="112">
        <f>B5</f>
        <v>2012</v>
      </c>
      <c r="I5" s="115">
        <f>C5</f>
        <v>2011</v>
      </c>
      <c r="J5" s="114" t="s">
        <v>9</v>
      </c>
      <c r="K5" s="112">
        <f>B5</f>
        <v>2012</v>
      </c>
      <c r="L5" s="115">
        <f>C5</f>
        <v>2011</v>
      </c>
      <c r="M5" s="114" t="s">
        <v>9</v>
      </c>
    </row>
    <row r="6" spans="1:13" ht="11.25">
      <c r="A6" s="116" t="s">
        <v>14</v>
      </c>
      <c r="B6" s="117">
        <f>'2009-2010'!V3</f>
        <v>8</v>
      </c>
      <c r="C6" s="118">
        <f>'2009-2010'!D3</f>
        <v>6</v>
      </c>
      <c r="D6" s="119" t="str">
        <f aca="true" t="shared" si="0" ref="D6:D34">IF(C6&lt;&gt;0,TEXT(((B6-C6)/C6)*100,"0,0"),"--")</f>
        <v>33,3</v>
      </c>
      <c r="E6" s="117">
        <f>'2009-2010'!W3</f>
        <v>6</v>
      </c>
      <c r="F6" s="118">
        <f>'2009-2010'!E3</f>
        <v>3</v>
      </c>
      <c r="G6" s="119" t="str">
        <f aca="true" t="shared" si="1" ref="G6:G34">IF(F6&lt;&gt;0,TEXT(((E6-F6)/F6)*100,"0,0"),"--")</f>
        <v>100,0</v>
      </c>
      <c r="H6" s="117">
        <f>'2009-2010'!AC3</f>
        <v>19</v>
      </c>
      <c r="I6" s="118">
        <f>'2009-2010'!K3</f>
        <v>28</v>
      </c>
      <c r="J6" s="119" t="str">
        <f aca="true" t="shared" si="2" ref="J6:J34">IF(I6&lt;&gt;0,TEXT(((H6-I6)/I6)*100,"0,0"),"--")</f>
        <v>-32,1</v>
      </c>
      <c r="K6" s="117">
        <f>'2009-2010'!AE3</f>
        <v>0</v>
      </c>
      <c r="L6" s="118">
        <f>'2009-2010'!M3</f>
        <v>0</v>
      </c>
      <c r="M6" s="119" t="str">
        <f aca="true" t="shared" si="3" ref="M6:M34">IF(L6&lt;&gt;0,TEXT(((K6-L6)/L6)*100,"0,0"),"--")</f>
        <v>--</v>
      </c>
    </row>
    <row r="7" spans="1:13" ht="11.25">
      <c r="A7" s="116" t="s">
        <v>17</v>
      </c>
      <c r="B7" s="117">
        <f>'2009-2010'!V4</f>
        <v>1</v>
      </c>
      <c r="C7" s="118">
        <f>'2009-2010'!D4</f>
        <v>5</v>
      </c>
      <c r="D7" s="119" t="str">
        <f t="shared" si="0"/>
        <v>-80,0</v>
      </c>
      <c r="E7" s="117">
        <f>'2009-2010'!W4</f>
        <v>1</v>
      </c>
      <c r="F7" s="118">
        <f>'2009-2010'!E4</f>
        <v>5</v>
      </c>
      <c r="G7" s="119" t="str">
        <f t="shared" si="1"/>
        <v>-80,0</v>
      </c>
      <c r="H7" s="117">
        <f>'2009-2010'!AC4</f>
        <v>13</v>
      </c>
      <c r="I7" s="118">
        <f>'2009-2010'!K4</f>
        <v>17</v>
      </c>
      <c r="J7" s="119" t="str">
        <f t="shared" si="2"/>
        <v>-23,5</v>
      </c>
      <c r="K7" s="117">
        <f>'2009-2010'!AE4</f>
        <v>1</v>
      </c>
      <c r="L7" s="118">
        <f>'2009-2010'!M4</f>
        <v>1</v>
      </c>
      <c r="M7" s="119" t="str">
        <f t="shared" si="3"/>
        <v>0,0</v>
      </c>
    </row>
    <row r="8" spans="1:13" ht="11.25">
      <c r="A8" s="116" t="s">
        <v>19</v>
      </c>
      <c r="B8" s="117">
        <f>'2009-2010'!V5</f>
        <v>1</v>
      </c>
      <c r="C8" s="118">
        <f>'2009-2010'!D5</f>
        <v>0</v>
      </c>
      <c r="D8" s="119" t="str">
        <f t="shared" si="0"/>
        <v>--</v>
      </c>
      <c r="E8" s="117">
        <f>'2009-2010'!W5</f>
        <v>2</v>
      </c>
      <c r="F8" s="118">
        <f>'2009-2010'!E5</f>
        <v>0</v>
      </c>
      <c r="G8" s="119" t="str">
        <f t="shared" si="1"/>
        <v>--</v>
      </c>
      <c r="H8" s="117">
        <f>'2009-2010'!AC5</f>
        <v>20</v>
      </c>
      <c r="I8" s="118">
        <f>'2009-2010'!K5</f>
        <v>11</v>
      </c>
      <c r="J8" s="119" t="str">
        <f t="shared" si="2"/>
        <v>81,8</v>
      </c>
      <c r="K8" s="117">
        <f>'2009-2010'!AE5</f>
        <v>1</v>
      </c>
      <c r="L8" s="118">
        <f>'2009-2010'!M5</f>
        <v>3</v>
      </c>
      <c r="M8" s="119" t="str">
        <f t="shared" si="3"/>
        <v>-66,7</v>
      </c>
    </row>
    <row r="9" spans="1:13" ht="11.25">
      <c r="A9" s="116" t="s">
        <v>21</v>
      </c>
      <c r="B9" s="117">
        <f>'2009-2010'!V6</f>
        <v>2</v>
      </c>
      <c r="C9" s="118">
        <f>'2009-2010'!D6</f>
        <v>4</v>
      </c>
      <c r="D9" s="119" t="str">
        <f t="shared" si="0"/>
        <v>-50,0</v>
      </c>
      <c r="E9" s="117">
        <f>'2009-2010'!W6</f>
        <v>5</v>
      </c>
      <c r="F9" s="118">
        <f>'2009-2010'!E6</f>
        <v>2</v>
      </c>
      <c r="G9" s="119" t="str">
        <f t="shared" si="1"/>
        <v>150,0</v>
      </c>
      <c r="H9" s="117">
        <f>'2009-2010'!AC6</f>
        <v>27</v>
      </c>
      <c r="I9" s="118">
        <f>'2009-2010'!K6</f>
        <v>25</v>
      </c>
      <c r="J9" s="119" t="str">
        <f t="shared" si="2"/>
        <v>8,0</v>
      </c>
      <c r="K9" s="117">
        <f>'2009-2010'!AE6</f>
        <v>1</v>
      </c>
      <c r="L9" s="118">
        <f>'2009-2010'!M6</f>
        <v>0</v>
      </c>
      <c r="M9" s="119" t="str">
        <f t="shared" si="3"/>
        <v>--</v>
      </c>
    </row>
    <row r="10" spans="1:13" ht="11.25">
      <c r="A10" s="116" t="s">
        <v>23</v>
      </c>
      <c r="B10" s="117">
        <f>'2009-2010'!V7</f>
        <v>1</v>
      </c>
      <c r="C10" s="118">
        <f>'2009-2010'!D7</f>
        <v>2</v>
      </c>
      <c r="D10" s="119" t="str">
        <f t="shared" si="0"/>
        <v>-50,0</v>
      </c>
      <c r="E10" s="117">
        <f>'2009-2010'!W7</f>
        <v>2</v>
      </c>
      <c r="F10" s="118">
        <f>'2009-2010'!E7</f>
        <v>2</v>
      </c>
      <c r="G10" s="119" t="str">
        <f t="shared" si="1"/>
        <v>0,0</v>
      </c>
      <c r="H10" s="117">
        <f>'2009-2010'!AC7</f>
        <v>12</v>
      </c>
      <c r="I10" s="118">
        <f>'2009-2010'!K7</f>
        <v>21</v>
      </c>
      <c r="J10" s="119" t="str">
        <f t="shared" si="2"/>
        <v>-42,9</v>
      </c>
      <c r="K10" s="117">
        <f>'2009-2010'!AE7</f>
        <v>0</v>
      </c>
      <c r="L10" s="118">
        <f>'2009-2010'!M7</f>
        <v>0</v>
      </c>
      <c r="M10" s="119" t="str">
        <f t="shared" si="3"/>
        <v>--</v>
      </c>
    </row>
    <row r="11" spans="1:13" ht="11.25">
      <c r="A11" s="116" t="s">
        <v>26</v>
      </c>
      <c r="B11" s="117">
        <f>'2009-2010'!V8</f>
        <v>13</v>
      </c>
      <c r="C11" s="118">
        <f>'2009-2010'!D8</f>
        <v>9</v>
      </c>
      <c r="D11" s="119" t="str">
        <f t="shared" si="0"/>
        <v>44,4</v>
      </c>
      <c r="E11" s="117">
        <f>'2009-2010'!W8</f>
        <v>9</v>
      </c>
      <c r="F11" s="118">
        <f>'2009-2010'!E8</f>
        <v>3</v>
      </c>
      <c r="G11" s="119" t="str">
        <f t="shared" si="1"/>
        <v>200,0</v>
      </c>
      <c r="H11" s="117">
        <f>'2009-2010'!AC8</f>
        <v>31</v>
      </c>
      <c r="I11" s="118">
        <f>'2009-2010'!K8</f>
        <v>37</v>
      </c>
      <c r="J11" s="119" t="str">
        <f t="shared" si="2"/>
        <v>-16,2</v>
      </c>
      <c r="K11" s="117">
        <f>'2009-2010'!AE8</f>
        <v>1</v>
      </c>
      <c r="L11" s="118">
        <f>'2009-2010'!M8</f>
        <v>1</v>
      </c>
      <c r="M11" s="119" t="str">
        <f t="shared" si="3"/>
        <v>0,0</v>
      </c>
    </row>
    <row r="12" spans="1:13" ht="11.25">
      <c r="A12" s="116" t="s">
        <v>28</v>
      </c>
      <c r="B12" s="117">
        <f>'2009-2010'!V9</f>
        <v>1</v>
      </c>
      <c r="C12" s="118">
        <f>'2009-2010'!D9</f>
        <v>2</v>
      </c>
      <c r="D12" s="119" t="str">
        <f t="shared" si="0"/>
        <v>-50,0</v>
      </c>
      <c r="E12" s="117">
        <f>'2009-2010'!W9</f>
        <v>1</v>
      </c>
      <c r="F12" s="118">
        <f>'2009-2010'!E9</f>
        <v>0</v>
      </c>
      <c r="G12" s="119" t="str">
        <f t="shared" si="1"/>
        <v>--</v>
      </c>
      <c r="H12" s="117">
        <f>'2009-2010'!AC9</f>
        <v>10</v>
      </c>
      <c r="I12" s="118">
        <f>'2009-2010'!K9</f>
        <v>18</v>
      </c>
      <c r="J12" s="119" t="str">
        <f t="shared" si="2"/>
        <v>-44,4</v>
      </c>
      <c r="K12" s="117">
        <f>'2009-2010'!AE9</f>
        <v>3</v>
      </c>
      <c r="L12" s="118">
        <f>'2009-2010'!M9</f>
        <v>0</v>
      </c>
      <c r="M12" s="119" t="str">
        <f t="shared" si="3"/>
        <v>--</v>
      </c>
    </row>
    <row r="13" spans="1:13" ht="11.25">
      <c r="A13" s="116" t="s">
        <v>30</v>
      </c>
      <c r="B13" s="117">
        <f>'2009-2010'!V10</f>
        <v>1</v>
      </c>
      <c r="C13" s="118">
        <f>'2009-2010'!D10</f>
        <v>5</v>
      </c>
      <c r="D13" s="119" t="str">
        <f t="shared" si="0"/>
        <v>-80,0</v>
      </c>
      <c r="E13" s="117">
        <f>'2009-2010'!W10</f>
        <v>0</v>
      </c>
      <c r="F13" s="118">
        <f>'2009-2010'!E10</f>
        <v>0</v>
      </c>
      <c r="G13" s="119" t="str">
        <f t="shared" si="1"/>
        <v>--</v>
      </c>
      <c r="H13" s="117">
        <f>'2009-2010'!AC10</f>
        <v>13</v>
      </c>
      <c r="I13" s="118">
        <f>'2009-2010'!K10</f>
        <v>10</v>
      </c>
      <c r="J13" s="119" t="str">
        <f t="shared" si="2"/>
        <v>30,0</v>
      </c>
      <c r="K13" s="117">
        <f>'2009-2010'!AE10</f>
        <v>1</v>
      </c>
      <c r="L13" s="118">
        <f>'2009-2010'!M10</f>
        <v>1</v>
      </c>
      <c r="M13" s="119" t="str">
        <f t="shared" si="3"/>
        <v>0,0</v>
      </c>
    </row>
    <row r="14" spans="1:13" ht="11.25">
      <c r="A14" s="116" t="s">
        <v>32</v>
      </c>
      <c r="B14" s="117">
        <f>'2009-2010'!V11</f>
        <v>1</v>
      </c>
      <c r="C14" s="118">
        <f>'2009-2010'!D11</f>
        <v>3</v>
      </c>
      <c r="D14" s="119" t="str">
        <f t="shared" si="0"/>
        <v>-66,7</v>
      </c>
      <c r="E14" s="117">
        <f>'2009-2010'!W11</f>
        <v>1</v>
      </c>
      <c r="F14" s="118">
        <f>'2009-2010'!E11</f>
        <v>1</v>
      </c>
      <c r="G14" s="119" t="str">
        <f t="shared" si="1"/>
        <v>0,0</v>
      </c>
      <c r="H14" s="117">
        <f>'2009-2010'!AC11</f>
        <v>6</v>
      </c>
      <c r="I14" s="118">
        <f>'2009-2010'!K11</f>
        <v>34</v>
      </c>
      <c r="J14" s="119" t="str">
        <f t="shared" si="2"/>
        <v>-82,4</v>
      </c>
      <c r="K14" s="117">
        <f>'2009-2010'!AE11</f>
        <v>0</v>
      </c>
      <c r="L14" s="118">
        <f>'2009-2010'!M11</f>
        <v>0</v>
      </c>
      <c r="M14" s="119" t="str">
        <f t="shared" si="3"/>
        <v>--</v>
      </c>
    </row>
    <row r="15" spans="1:13" ht="11.25">
      <c r="A15" s="116" t="s">
        <v>34</v>
      </c>
      <c r="B15" s="117">
        <f>'2009-2010'!V12</f>
        <v>1</v>
      </c>
      <c r="C15" s="118">
        <f>'2009-2010'!D12</f>
        <v>7</v>
      </c>
      <c r="D15" s="119" t="str">
        <f t="shared" si="0"/>
        <v>-85,7</v>
      </c>
      <c r="E15" s="117">
        <f>'2009-2010'!W12</f>
        <v>0</v>
      </c>
      <c r="F15" s="118">
        <f>'2009-2010'!E12</f>
        <v>2</v>
      </c>
      <c r="G15" s="119" t="str">
        <f t="shared" si="1"/>
        <v>-100,0</v>
      </c>
      <c r="H15" s="117">
        <f>'2009-2010'!AC12</f>
        <v>33</v>
      </c>
      <c r="I15" s="118">
        <f>'2009-2010'!K12</f>
        <v>27</v>
      </c>
      <c r="J15" s="119" t="str">
        <f t="shared" si="2"/>
        <v>22,2</v>
      </c>
      <c r="K15" s="117">
        <f>'2009-2010'!AE12</f>
        <v>1</v>
      </c>
      <c r="L15" s="118">
        <f>'2009-2010'!M12</f>
        <v>0</v>
      </c>
      <c r="M15" s="119" t="str">
        <f t="shared" si="3"/>
        <v>--</v>
      </c>
    </row>
    <row r="16" spans="1:13" ht="11.25">
      <c r="A16" s="116" t="s">
        <v>36</v>
      </c>
      <c r="B16" s="117">
        <f>'2009-2010'!V13</f>
        <v>5</v>
      </c>
      <c r="C16" s="118">
        <f>'2009-2010'!D13</f>
        <v>4</v>
      </c>
      <c r="D16" s="119" t="str">
        <f t="shared" si="0"/>
        <v>25,0</v>
      </c>
      <c r="E16" s="117">
        <f>'2009-2010'!W13</f>
        <v>0</v>
      </c>
      <c r="F16" s="118">
        <f>'2009-2010'!E13</f>
        <v>3</v>
      </c>
      <c r="G16" s="119" t="str">
        <f t="shared" si="1"/>
        <v>-100,0</v>
      </c>
      <c r="H16" s="117">
        <f>'2009-2010'!AC13</f>
        <v>31</v>
      </c>
      <c r="I16" s="118">
        <f>'2009-2010'!K13</f>
        <v>41</v>
      </c>
      <c r="J16" s="119" t="str">
        <f t="shared" si="2"/>
        <v>-24,4</v>
      </c>
      <c r="K16" s="117">
        <f>'2009-2010'!AE13</f>
        <v>2</v>
      </c>
      <c r="L16" s="118">
        <f>'2009-2010'!M13</f>
        <v>4</v>
      </c>
      <c r="M16" s="119" t="str">
        <f t="shared" si="3"/>
        <v>-50,0</v>
      </c>
    </row>
    <row r="17" spans="1:13" ht="11.25">
      <c r="A17" s="120" t="s">
        <v>38</v>
      </c>
      <c r="B17" s="121">
        <f>'2009-2010'!V14</f>
        <v>7</v>
      </c>
      <c r="C17" s="122">
        <f>'2009-2010'!D14</f>
        <v>5</v>
      </c>
      <c r="D17" s="123" t="str">
        <f t="shared" si="0"/>
        <v>40,0</v>
      </c>
      <c r="E17" s="121">
        <f>'2009-2010'!W14</f>
        <v>2</v>
      </c>
      <c r="F17" s="122">
        <f>'2009-2010'!E14</f>
        <v>2</v>
      </c>
      <c r="G17" s="123" t="str">
        <f t="shared" si="1"/>
        <v>0,0</v>
      </c>
      <c r="H17" s="121">
        <f>'2009-2010'!AC14</f>
        <v>29</v>
      </c>
      <c r="I17" s="122">
        <f>'2009-2010'!K14</f>
        <v>28</v>
      </c>
      <c r="J17" s="123" t="str">
        <f t="shared" si="2"/>
        <v>3,6</v>
      </c>
      <c r="K17" s="121">
        <f>'2009-2010'!AE14</f>
        <v>2</v>
      </c>
      <c r="L17" s="122">
        <f>'2009-2010'!M14</f>
        <v>1</v>
      </c>
      <c r="M17" s="123" t="str">
        <f t="shared" si="3"/>
        <v>100,0</v>
      </c>
    </row>
    <row r="18" spans="1:13" ht="11.25">
      <c r="A18" s="116" t="s">
        <v>41</v>
      </c>
      <c r="B18" s="117">
        <f>'2009-2010'!V27</f>
        <v>0</v>
      </c>
      <c r="C18" s="118">
        <f>'2009-2010'!D27</f>
        <v>2</v>
      </c>
      <c r="D18" s="119" t="str">
        <f t="shared" si="0"/>
        <v>-100,0</v>
      </c>
      <c r="E18" s="117">
        <f>'2009-2010'!W27</f>
        <v>8</v>
      </c>
      <c r="F18" s="118">
        <f>'2009-2010'!E27</f>
        <v>9</v>
      </c>
      <c r="G18" s="119" t="str">
        <f t="shared" si="1"/>
        <v>-11,1</v>
      </c>
      <c r="H18" s="117">
        <f>'2009-2010'!AC27</f>
        <v>3</v>
      </c>
      <c r="I18" s="118">
        <f>'2009-2010'!K27</f>
        <v>1</v>
      </c>
      <c r="J18" s="119" t="str">
        <f t="shared" si="2"/>
        <v>200,0</v>
      </c>
      <c r="K18" s="117">
        <f>'2009-2010'!AE27</f>
        <v>1</v>
      </c>
      <c r="L18" s="118">
        <f>'2009-2010'!M27</f>
        <v>1</v>
      </c>
      <c r="M18" s="119" t="str">
        <f t="shared" si="3"/>
        <v>0,0</v>
      </c>
    </row>
    <row r="19" spans="1:13" ht="11.25">
      <c r="A19" s="116" t="s">
        <v>42</v>
      </c>
      <c r="B19" s="117">
        <f>'2009-2010'!V15</f>
        <v>4</v>
      </c>
      <c r="C19" s="118">
        <f>'2009-2010'!D15</f>
        <v>3</v>
      </c>
      <c r="D19" s="119" t="str">
        <f t="shared" si="0"/>
        <v>33,3</v>
      </c>
      <c r="E19" s="117">
        <f>'2009-2010'!W15</f>
        <v>0</v>
      </c>
      <c r="F19" s="118">
        <f>'2009-2010'!E15</f>
        <v>2</v>
      </c>
      <c r="G19" s="119" t="str">
        <f t="shared" si="1"/>
        <v>-100,0</v>
      </c>
      <c r="H19" s="117">
        <f>'2009-2010'!AC15</f>
        <v>20</v>
      </c>
      <c r="I19" s="118">
        <f>'2009-2010'!K15</f>
        <v>10</v>
      </c>
      <c r="J19" s="119" t="str">
        <f t="shared" si="2"/>
        <v>100,0</v>
      </c>
      <c r="K19" s="117">
        <f>'2009-2010'!AE15</f>
        <v>2</v>
      </c>
      <c r="L19" s="118">
        <f>'2009-2010'!M15</f>
        <v>2</v>
      </c>
      <c r="M19" s="119" t="str">
        <f t="shared" si="3"/>
        <v>0,0</v>
      </c>
    </row>
    <row r="20" spans="1:13" ht="11.25">
      <c r="A20" s="116" t="s">
        <v>44</v>
      </c>
      <c r="B20" s="117">
        <f>'2009-2010'!V16</f>
        <v>7</v>
      </c>
      <c r="C20" s="118">
        <f>'2009-2010'!D16</f>
        <v>2</v>
      </c>
      <c r="D20" s="119" t="str">
        <f t="shared" si="0"/>
        <v>250,0</v>
      </c>
      <c r="E20" s="117">
        <f>'2009-2010'!W16</f>
        <v>0</v>
      </c>
      <c r="F20" s="118">
        <f>'2009-2010'!E16</f>
        <v>1</v>
      </c>
      <c r="G20" s="119" t="str">
        <f t="shared" si="1"/>
        <v>-100,0</v>
      </c>
      <c r="H20" s="117">
        <f>'2009-2010'!AC16</f>
        <v>16</v>
      </c>
      <c r="I20" s="118">
        <f>'2009-2010'!K16</f>
        <v>19</v>
      </c>
      <c r="J20" s="119" t="str">
        <f t="shared" si="2"/>
        <v>-15,8</v>
      </c>
      <c r="K20" s="117">
        <f>'2009-2010'!AE16</f>
        <v>0</v>
      </c>
      <c r="L20" s="118">
        <f>'2009-2010'!M16</f>
        <v>0</v>
      </c>
      <c r="M20" s="119" t="str">
        <f t="shared" si="3"/>
        <v>--</v>
      </c>
    </row>
    <row r="21" spans="1:13" ht="11.25">
      <c r="A21" s="616" t="s">
        <v>46</v>
      </c>
      <c r="B21" s="617">
        <f>'2009-2010'!V17</f>
        <v>6</v>
      </c>
      <c r="C21" s="618">
        <f>'2009-2010'!D17</f>
        <v>4</v>
      </c>
      <c r="D21" s="619" t="str">
        <f t="shared" si="0"/>
        <v>50,0</v>
      </c>
      <c r="E21" s="617">
        <f>'2009-2010'!W17</f>
        <v>7</v>
      </c>
      <c r="F21" s="618">
        <f>'2009-2010'!E17</f>
        <v>2</v>
      </c>
      <c r="G21" s="619" t="str">
        <f t="shared" si="1"/>
        <v>250,0</v>
      </c>
      <c r="H21" s="617">
        <f>'2009-2010'!AC17</f>
        <v>12</v>
      </c>
      <c r="I21" s="618">
        <f>'2009-2010'!K17</f>
        <v>26</v>
      </c>
      <c r="J21" s="619" t="str">
        <f t="shared" si="2"/>
        <v>-53,8</v>
      </c>
      <c r="K21" s="617">
        <f>'2009-2010'!AE17</f>
        <v>5</v>
      </c>
      <c r="L21" s="618">
        <f>'2009-2010'!M17</f>
        <v>5</v>
      </c>
      <c r="M21" s="619" t="str">
        <f t="shared" si="3"/>
        <v>0,0</v>
      </c>
    </row>
    <row r="22" spans="1:13" ht="11.25">
      <c r="A22" s="116" t="s">
        <v>48</v>
      </c>
      <c r="B22" s="117">
        <f>'2009-2010'!V18</f>
        <v>5</v>
      </c>
      <c r="C22" s="118">
        <f>'2009-2010'!D18</f>
        <v>8</v>
      </c>
      <c r="D22" s="119" t="str">
        <f t="shared" si="0"/>
        <v>-37,5</v>
      </c>
      <c r="E22" s="117">
        <f>'2009-2010'!W18</f>
        <v>7</v>
      </c>
      <c r="F22" s="118">
        <f>'2009-2010'!E18</f>
        <v>8</v>
      </c>
      <c r="G22" s="119" t="str">
        <f t="shared" si="1"/>
        <v>-12,5</v>
      </c>
      <c r="H22" s="117">
        <f>'2009-2010'!AC18</f>
        <v>42</v>
      </c>
      <c r="I22" s="118">
        <f>'2009-2010'!K18</f>
        <v>52</v>
      </c>
      <c r="J22" s="119" t="str">
        <f t="shared" si="2"/>
        <v>-19,2</v>
      </c>
      <c r="K22" s="117">
        <f>'2009-2010'!AE18</f>
        <v>5</v>
      </c>
      <c r="L22" s="118">
        <f>'2009-2010'!M18</f>
        <v>5</v>
      </c>
      <c r="M22" s="119" t="str">
        <f t="shared" si="3"/>
        <v>0,0</v>
      </c>
    </row>
    <row r="23" spans="1:13" ht="11.25">
      <c r="A23" s="116" t="s">
        <v>50</v>
      </c>
      <c r="B23" s="117">
        <f>'2009-2010'!V19</f>
        <v>0</v>
      </c>
      <c r="C23" s="118">
        <f>'2009-2010'!D19</f>
        <v>1</v>
      </c>
      <c r="D23" s="119" t="str">
        <f t="shared" si="0"/>
        <v>-100,0</v>
      </c>
      <c r="E23" s="117">
        <f>'2009-2010'!W19</f>
        <v>0</v>
      </c>
      <c r="F23" s="118">
        <f>'2009-2010'!E19</f>
        <v>0</v>
      </c>
      <c r="G23" s="119" t="str">
        <f t="shared" si="1"/>
        <v>--</v>
      </c>
      <c r="H23" s="117">
        <f>'2009-2010'!AC19</f>
        <v>7</v>
      </c>
      <c r="I23" s="118">
        <f>'2009-2010'!K19</f>
        <v>6</v>
      </c>
      <c r="J23" s="119" t="str">
        <f t="shared" si="2"/>
        <v>16,7</v>
      </c>
      <c r="K23" s="117">
        <f>'2009-2010'!AE19</f>
        <v>1</v>
      </c>
      <c r="L23" s="118">
        <f>'2009-2010'!M19</f>
        <v>0</v>
      </c>
      <c r="M23" s="119" t="str">
        <f t="shared" si="3"/>
        <v>--</v>
      </c>
    </row>
    <row r="24" spans="1:13" ht="11.25">
      <c r="A24" s="116" t="s">
        <v>52</v>
      </c>
      <c r="B24" s="117">
        <f>'2009-2010'!V20</f>
        <v>3</v>
      </c>
      <c r="C24" s="118">
        <f>'2009-2010'!D20</f>
        <v>8</v>
      </c>
      <c r="D24" s="119" t="str">
        <f t="shared" si="0"/>
        <v>-62,5</v>
      </c>
      <c r="E24" s="117">
        <f>'2009-2010'!W20</f>
        <v>2</v>
      </c>
      <c r="F24" s="118">
        <f>'2009-2010'!E20</f>
        <v>4</v>
      </c>
      <c r="G24" s="119" t="str">
        <f t="shared" si="1"/>
        <v>-50,0</v>
      </c>
      <c r="H24" s="117">
        <f>'2009-2010'!AC20</f>
        <v>25</v>
      </c>
      <c r="I24" s="118">
        <f>'2009-2010'!K20</f>
        <v>32</v>
      </c>
      <c r="J24" s="119" t="str">
        <f t="shared" si="2"/>
        <v>-21,9</v>
      </c>
      <c r="K24" s="117">
        <f>'2009-2010'!AE20</f>
        <v>10</v>
      </c>
      <c r="L24" s="118">
        <f>'2009-2010'!M20</f>
        <v>3</v>
      </c>
      <c r="M24" s="119" t="str">
        <f t="shared" si="3"/>
        <v>233,3</v>
      </c>
    </row>
    <row r="25" spans="1:13" ht="11.25">
      <c r="A25" s="116" t="s">
        <v>54</v>
      </c>
      <c r="B25" s="117">
        <f>'2009-2010'!V21</f>
        <v>2</v>
      </c>
      <c r="C25" s="118">
        <f>'2009-2010'!D21</f>
        <v>5</v>
      </c>
      <c r="D25" s="119" t="str">
        <f t="shared" si="0"/>
        <v>-60,0</v>
      </c>
      <c r="E25" s="117">
        <f>'2009-2010'!W21</f>
        <v>9</v>
      </c>
      <c r="F25" s="118">
        <f>'2009-2010'!E21</f>
        <v>1</v>
      </c>
      <c r="G25" s="119" t="str">
        <f t="shared" si="1"/>
        <v>800,0</v>
      </c>
      <c r="H25" s="117">
        <f>'2009-2010'!AC21</f>
        <v>21</v>
      </c>
      <c r="I25" s="118">
        <f>'2009-2010'!K21</f>
        <v>31</v>
      </c>
      <c r="J25" s="119" t="str">
        <f t="shared" si="2"/>
        <v>-32,3</v>
      </c>
      <c r="K25" s="117">
        <f>'2009-2010'!AE21</f>
        <v>4</v>
      </c>
      <c r="L25" s="118">
        <f>'2009-2010'!M21</f>
        <v>4</v>
      </c>
      <c r="M25" s="119" t="str">
        <f t="shared" si="3"/>
        <v>0,0</v>
      </c>
    </row>
    <row r="26" spans="1:13" ht="11.25">
      <c r="A26" s="116" t="s">
        <v>56</v>
      </c>
      <c r="B26" s="117">
        <f>'2009-2010'!V22</f>
        <v>0</v>
      </c>
      <c r="C26" s="118">
        <f>'2009-2010'!D22</f>
        <v>1</v>
      </c>
      <c r="D26" s="119" t="str">
        <f t="shared" si="0"/>
        <v>-100,0</v>
      </c>
      <c r="E26" s="117">
        <f>'2009-2010'!W22</f>
        <v>1</v>
      </c>
      <c r="F26" s="118">
        <f>'2009-2010'!E22</f>
        <v>2</v>
      </c>
      <c r="G26" s="119" t="str">
        <f t="shared" si="1"/>
        <v>-50,0</v>
      </c>
      <c r="H26" s="117">
        <f>'2009-2010'!AC22</f>
        <v>1</v>
      </c>
      <c r="I26" s="118">
        <f>'2009-2010'!K22</f>
        <v>2</v>
      </c>
      <c r="J26" s="119" t="str">
        <f t="shared" si="2"/>
        <v>-50,0</v>
      </c>
      <c r="K26" s="117">
        <f>'2009-2010'!AE22</f>
        <v>1</v>
      </c>
      <c r="L26" s="118">
        <f>'2009-2010'!M22</f>
        <v>1</v>
      </c>
      <c r="M26" s="119" t="str">
        <f t="shared" si="3"/>
        <v>0,0</v>
      </c>
    </row>
    <row r="27" spans="1:13" ht="11.25">
      <c r="A27" s="116" t="s">
        <v>58</v>
      </c>
      <c r="B27" s="117">
        <f>'2009-2010'!V23</f>
        <v>2</v>
      </c>
      <c r="C27" s="118">
        <f>'2009-2010'!D23</f>
        <v>0</v>
      </c>
      <c r="D27" s="119" t="str">
        <f t="shared" si="0"/>
        <v>--</v>
      </c>
      <c r="E27" s="117">
        <f>'2009-2010'!W23</f>
        <v>0</v>
      </c>
      <c r="F27" s="118">
        <f>'2009-2010'!E23</f>
        <v>0</v>
      </c>
      <c r="G27" s="119" t="str">
        <f t="shared" si="1"/>
        <v>--</v>
      </c>
      <c r="H27" s="117">
        <f>'2009-2010'!AC23</f>
        <v>17</v>
      </c>
      <c r="I27" s="118">
        <f>'2009-2010'!K23</f>
        <v>11</v>
      </c>
      <c r="J27" s="119" t="str">
        <f t="shared" si="2"/>
        <v>54,5</v>
      </c>
      <c r="K27" s="117">
        <f>'2009-2010'!AE23</f>
        <v>0</v>
      </c>
      <c r="L27" s="118">
        <f>'2009-2010'!M23</f>
        <v>0</v>
      </c>
      <c r="M27" s="119" t="str">
        <f t="shared" si="3"/>
        <v>--</v>
      </c>
    </row>
    <row r="28" spans="1:13" ht="11.25">
      <c r="A28" s="120" t="s">
        <v>11</v>
      </c>
      <c r="B28" s="121">
        <f>'2009-2010'!V24</f>
        <v>5</v>
      </c>
      <c r="C28" s="122">
        <f>'2009-2010'!D24</f>
        <v>3</v>
      </c>
      <c r="D28" s="123" t="str">
        <f>IF(C28&lt;&gt;0,TEXT(((B28-C28)/C28)*100,"0,0"),"--")</f>
        <v>66,7</v>
      </c>
      <c r="E28" s="121">
        <f>'2009-2010'!W24</f>
        <v>10</v>
      </c>
      <c r="F28" s="122">
        <f>'2009-2010'!E24</f>
        <v>7</v>
      </c>
      <c r="G28" s="123" t="str">
        <f>IF(F28&lt;&gt;0,TEXT(((E28-F28)/F28)*100,"0,0"),"--")</f>
        <v>42,9</v>
      </c>
      <c r="H28" s="121">
        <f>'2009-2010'!AC24</f>
        <v>8</v>
      </c>
      <c r="I28" s="122">
        <f>'2009-2010'!K24</f>
        <v>16</v>
      </c>
      <c r="J28" s="123" t="str">
        <f>IF(I28&lt;&gt;0,TEXT(((H28-I28)/I28)*100,"0,0"),"--")</f>
        <v>-50,0</v>
      </c>
      <c r="K28" s="121">
        <f>'2009-2010'!AE24</f>
        <v>3</v>
      </c>
      <c r="L28" s="122">
        <f>'2009-2010'!M24</f>
        <v>0</v>
      </c>
      <c r="M28" s="123" t="str">
        <f>IF(L28&lt;&gt;0,TEXT(((K28-L28)/L28)*100,"0,0"),"--")</f>
        <v>--</v>
      </c>
    </row>
    <row r="29" spans="1:13" ht="11.25">
      <c r="A29" s="124" t="s">
        <v>12</v>
      </c>
      <c r="B29" s="125">
        <f>'2009-2010'!V26</f>
        <v>9</v>
      </c>
      <c r="C29" s="126">
        <f>'2009-2010'!D26</f>
        <v>8</v>
      </c>
      <c r="D29" s="127" t="str">
        <f>IF(C29&lt;&gt;0,TEXT(((B29-C29)/C29)*100,"0,0"),"--")</f>
        <v>12,5</v>
      </c>
      <c r="E29" s="125">
        <f>'2009-2010'!W26</f>
        <v>23</v>
      </c>
      <c r="F29" s="126">
        <f>'2009-2010'!E26</f>
        <v>20</v>
      </c>
      <c r="G29" s="127" t="str">
        <f>IF(F29&lt;&gt;0,TEXT(((E29-F29)/F29)*100,"0,0"),"--")</f>
        <v>15,0</v>
      </c>
      <c r="H29" s="125">
        <f>'2009-2010'!AC26</f>
        <v>14</v>
      </c>
      <c r="I29" s="126">
        <f>'2009-2010'!K26</f>
        <v>12</v>
      </c>
      <c r="J29" s="127" t="str">
        <f>IF(I29&lt;&gt;0,TEXT(((H29-I29)/I29)*100,"0,0"),"--")</f>
        <v>16,7</v>
      </c>
      <c r="K29" s="125">
        <f>'2009-2010'!AE26</f>
        <v>3</v>
      </c>
      <c r="L29" s="126">
        <f>'2009-2010'!M26</f>
        <v>3</v>
      </c>
      <c r="M29" s="127" t="str">
        <f>IF(L29&lt;&gt;0,TEXT(((K29-L29)/L29)*100,"0,0"),"--")</f>
        <v>0,0</v>
      </c>
    </row>
    <row r="30" spans="1:13" ht="11.25">
      <c r="A30" s="128" t="s">
        <v>13</v>
      </c>
      <c r="B30" s="129">
        <f>'2009-2010'!V25</f>
        <v>7</v>
      </c>
      <c r="C30" s="130">
        <f>'2009-2010'!D25</f>
        <v>5</v>
      </c>
      <c r="D30" s="131" t="str">
        <f>IF(C30&lt;&gt;0,TEXT(((B30-C30)/C30)*100,"0,0"),"--")</f>
        <v>40,0</v>
      </c>
      <c r="E30" s="129">
        <f>'2009-2010'!W25</f>
        <v>16</v>
      </c>
      <c r="F30" s="130">
        <f>'2009-2010'!E25</f>
        <v>17</v>
      </c>
      <c r="G30" s="131" t="str">
        <f>IF(F30&lt;&gt;0,TEXT(((E30-F30)/F30)*100,"0,0"),"--")</f>
        <v>-5,9</v>
      </c>
      <c r="H30" s="129">
        <f>'2009-2010'!AC25</f>
        <v>14</v>
      </c>
      <c r="I30" s="130">
        <f>'2009-2010'!K25</f>
        <v>18</v>
      </c>
      <c r="J30" s="131" t="str">
        <f>IF(I30&lt;&gt;0,TEXT(((H30-I30)/I30)*100,"0,0"),"--")</f>
        <v>-22,2</v>
      </c>
      <c r="K30" s="129">
        <f>'2009-2010'!AE25</f>
        <v>5</v>
      </c>
      <c r="L30" s="130">
        <f>'2009-2010'!M25</f>
        <v>4</v>
      </c>
      <c r="M30" s="131" t="str">
        <f>IF(L30&lt;&gt;0,TEXT(((K30-L30)/L30)*100,"0,0"),"--")</f>
        <v>25,0</v>
      </c>
    </row>
    <row r="31" spans="1:13" ht="11.25">
      <c r="A31" s="116" t="s">
        <v>10</v>
      </c>
      <c r="B31" s="117">
        <f>B28+B29+B30</f>
        <v>21</v>
      </c>
      <c r="C31" s="118">
        <f>C28+C29+C30</f>
        <v>16</v>
      </c>
      <c r="D31" s="119" t="str">
        <f>IF(C31&lt;&gt;0,TEXT(((B31-C31)/C31)*100,"0,0"),"--")</f>
        <v>31,3</v>
      </c>
      <c r="E31" s="117">
        <f>E28+E29+E30</f>
        <v>49</v>
      </c>
      <c r="F31" s="118">
        <f>F28+F29+F30</f>
        <v>44</v>
      </c>
      <c r="G31" s="119" t="str">
        <f>IF(F31&lt;&gt;0,TEXT(((E31-F31)/F31)*100,"0,0"),"--")</f>
        <v>11,4</v>
      </c>
      <c r="H31" s="117">
        <f>H28+H29+H30</f>
        <v>36</v>
      </c>
      <c r="I31" s="118">
        <f>I28+I29+I30</f>
        <v>46</v>
      </c>
      <c r="J31" s="119" t="str">
        <f>IF(I31&lt;&gt;0,TEXT(((H31-I31)/I31)*100,"0,0"),"--")</f>
        <v>-21,7</v>
      </c>
      <c r="K31" s="117">
        <f>K28+K29+K30</f>
        <v>11</v>
      </c>
      <c r="L31" s="118">
        <f>L28+L29+L30</f>
        <v>7</v>
      </c>
      <c r="M31" s="119" t="str">
        <f>IF(L31&lt;&gt;0,TEXT(((K31-L31)/L31)*100,"0,0"),"--")</f>
        <v>57,1</v>
      </c>
    </row>
    <row r="32" spans="1:13" ht="11.25" hidden="1">
      <c r="A32" s="132" t="s">
        <v>60</v>
      </c>
      <c r="B32" s="117"/>
      <c r="C32" s="118"/>
      <c r="D32" s="119" t="str">
        <f t="shared" si="0"/>
        <v>--</v>
      </c>
      <c r="E32" s="117"/>
      <c r="F32" s="118"/>
      <c r="G32" s="119" t="str">
        <f t="shared" si="1"/>
        <v>--</v>
      </c>
      <c r="H32" s="117"/>
      <c r="I32" s="118"/>
      <c r="J32" s="119" t="str">
        <f t="shared" si="2"/>
        <v>--</v>
      </c>
      <c r="K32" s="117"/>
      <c r="L32" s="118"/>
      <c r="M32" s="119" t="str">
        <f t="shared" si="3"/>
        <v>--</v>
      </c>
    </row>
    <row r="33" spans="1:13" ht="11.25" hidden="1">
      <c r="A33" s="132" t="s">
        <v>106</v>
      </c>
      <c r="B33" s="117"/>
      <c r="C33" s="118"/>
      <c r="D33" s="119" t="str">
        <f t="shared" si="0"/>
        <v>--</v>
      </c>
      <c r="E33" s="117"/>
      <c r="F33" s="118"/>
      <c r="G33" s="119" t="str">
        <f t="shared" si="1"/>
        <v>--</v>
      </c>
      <c r="H33" s="117"/>
      <c r="I33" s="118"/>
      <c r="J33" s="119" t="str">
        <f t="shared" si="2"/>
        <v>--</v>
      </c>
      <c r="K33" s="117"/>
      <c r="L33" s="118"/>
      <c r="M33" s="119" t="str">
        <f t="shared" si="3"/>
        <v>--</v>
      </c>
    </row>
    <row r="34" spans="1:13" ht="11.25">
      <c r="A34" s="132" t="s">
        <v>107</v>
      </c>
      <c r="B34" s="117">
        <f>SUM(B6:B30)</f>
        <v>92</v>
      </c>
      <c r="C34" s="118">
        <f>SUM(C6:C30)</f>
        <v>102</v>
      </c>
      <c r="D34" s="119" t="str">
        <f t="shared" si="0"/>
        <v>-9,8</v>
      </c>
      <c r="E34" s="117">
        <f>SUM(E6:E30)</f>
        <v>112</v>
      </c>
      <c r="F34" s="118">
        <f>SUM(F6:F30)</f>
        <v>96</v>
      </c>
      <c r="G34" s="119" t="str">
        <f t="shared" si="1"/>
        <v>16,7</v>
      </c>
      <c r="H34" s="117">
        <f>SUM(H6:H30)</f>
        <v>444</v>
      </c>
      <c r="I34" s="118">
        <f>SUM(I6:I30)</f>
        <v>533</v>
      </c>
      <c r="J34" s="119" t="str">
        <f t="shared" si="2"/>
        <v>-16,7</v>
      </c>
      <c r="K34" s="117">
        <f>SUM(K6:K30)</f>
        <v>53</v>
      </c>
      <c r="L34" s="118">
        <f>SUM(L6:L30)</f>
        <v>39</v>
      </c>
      <c r="M34" s="119" t="str">
        <f t="shared" si="3"/>
        <v>35,9</v>
      </c>
    </row>
    <row r="36" spans="1:13" ht="11.25">
      <c r="A36" s="110" t="s">
        <v>2</v>
      </c>
      <c r="B36" s="564" t="s">
        <v>108</v>
      </c>
      <c r="C36" s="564"/>
      <c r="D36" s="564"/>
      <c r="E36" s="564" t="s">
        <v>109</v>
      </c>
      <c r="F36" s="564"/>
      <c r="G36" s="564"/>
      <c r="H36" s="564" t="s">
        <v>110</v>
      </c>
      <c r="I36" s="564"/>
      <c r="J36" s="564"/>
      <c r="K36" s="564" t="s">
        <v>111</v>
      </c>
      <c r="L36" s="564"/>
      <c r="M36" s="564"/>
    </row>
    <row r="37" spans="1:13" ht="12">
      <c r="A37" s="111"/>
      <c r="B37" s="112">
        <f>B5</f>
        <v>2012</v>
      </c>
      <c r="C37" s="113">
        <f>C5</f>
        <v>2011</v>
      </c>
      <c r="D37" s="114" t="s">
        <v>9</v>
      </c>
      <c r="E37" s="112">
        <f>B5</f>
        <v>2012</v>
      </c>
      <c r="F37" s="113">
        <f>C5</f>
        <v>2011</v>
      </c>
      <c r="G37" s="114" t="s">
        <v>9</v>
      </c>
      <c r="H37" s="112">
        <f>B5</f>
        <v>2012</v>
      </c>
      <c r="I37" s="113">
        <f>C5</f>
        <v>2011</v>
      </c>
      <c r="J37" s="114" t="s">
        <v>9</v>
      </c>
      <c r="K37" s="112">
        <f>B5</f>
        <v>2012</v>
      </c>
      <c r="L37" s="113">
        <f>C5</f>
        <v>2011</v>
      </c>
      <c r="M37" s="114" t="s">
        <v>9</v>
      </c>
    </row>
    <row r="38" spans="1:13" ht="11.25">
      <c r="A38" s="116" t="s">
        <v>14</v>
      </c>
      <c r="B38" s="117">
        <f>'2009-2010'!AI3</f>
        <v>0</v>
      </c>
      <c r="C38" s="118">
        <f>'2009-2010'!Q3</f>
        <v>1</v>
      </c>
      <c r="D38" s="119" t="str">
        <f aca="true" t="shared" si="4" ref="D38:D59">IF(C38&lt;&gt;0,TEXT(((B38-C38)/C38)*100,"0,0"),"--")</f>
        <v>-100,0</v>
      </c>
      <c r="E38" s="117">
        <f>'2009-2010'!AJ3</f>
        <v>0</v>
      </c>
      <c r="F38" s="118">
        <f>'2009-2010'!R3</f>
        <v>0</v>
      </c>
      <c r="G38" s="119" t="str">
        <f aca="true" t="shared" si="5" ref="G38:G59">IF(F38&lt;&gt;0,TEXT(((E38-F38)/F38)*100,"0,0"),"--")</f>
        <v>--</v>
      </c>
      <c r="H38" s="117">
        <f>'2009-2010'!AK3</f>
        <v>0</v>
      </c>
      <c r="I38" s="118">
        <f>'2009-2010'!S3</f>
        <v>0</v>
      </c>
      <c r="J38" s="119" t="str">
        <f aca="true" t="shared" si="6" ref="J38:J59">IF(I38&lt;&gt;0,TEXT(((H38-I38)/I38)*100,"0,0"),"--")</f>
        <v>--</v>
      </c>
      <c r="K38" s="117">
        <f>'2009-2010'!AD3</f>
        <v>1200</v>
      </c>
      <c r="L38" s="118">
        <f>'2009-2010'!L3</f>
        <v>1485</v>
      </c>
      <c r="M38" s="119" t="str">
        <f aca="true" t="shared" si="7" ref="M38:M59">IF(L38&lt;&gt;0,TEXT(((K38-L38)/L38)*100,"0,0"),"--")</f>
        <v>-19,2</v>
      </c>
    </row>
    <row r="39" spans="1:13" ht="11.25">
      <c r="A39" s="116" t="s">
        <v>17</v>
      </c>
      <c r="B39" s="117">
        <f>'2009-2010'!AI4</f>
        <v>1</v>
      </c>
      <c r="C39" s="118">
        <f>'2009-2010'!Q4</f>
        <v>46</v>
      </c>
      <c r="D39" s="119" t="str">
        <f t="shared" si="4"/>
        <v>-97,8</v>
      </c>
      <c r="E39" s="117">
        <f>'2009-2010'!AJ4</f>
        <v>0</v>
      </c>
      <c r="F39" s="118">
        <f>'2009-2010'!R4</f>
        <v>0</v>
      </c>
      <c r="G39" s="119" t="str">
        <f t="shared" si="5"/>
        <v>--</v>
      </c>
      <c r="H39" s="117">
        <f>'2009-2010'!AK4</f>
        <v>0</v>
      </c>
      <c r="I39" s="118">
        <f>'2009-2010'!S4</f>
        <v>0</v>
      </c>
      <c r="J39" s="119" t="str">
        <f t="shared" si="6"/>
        <v>--</v>
      </c>
      <c r="K39" s="117">
        <f>'2009-2010'!AD4</f>
        <v>392</v>
      </c>
      <c r="L39" s="118">
        <f>'2009-2010'!L4</f>
        <v>1022</v>
      </c>
      <c r="M39" s="119" t="str">
        <f t="shared" si="7"/>
        <v>-61,6</v>
      </c>
    </row>
    <row r="40" spans="1:13" ht="11.25">
      <c r="A40" s="116" t="s">
        <v>19</v>
      </c>
      <c r="B40" s="117">
        <f>'2009-2010'!AI5</f>
        <v>0</v>
      </c>
      <c r="C40" s="118">
        <f>'2009-2010'!Q5</f>
        <v>0</v>
      </c>
      <c r="D40" s="119" t="str">
        <f t="shared" si="4"/>
        <v>--</v>
      </c>
      <c r="E40" s="117">
        <f>'2009-2010'!AJ5</f>
        <v>0</v>
      </c>
      <c r="F40" s="118">
        <f>'2009-2010'!R5</f>
        <v>0</v>
      </c>
      <c r="G40" s="119" t="str">
        <f t="shared" si="5"/>
        <v>--</v>
      </c>
      <c r="H40" s="117">
        <f>'2009-2010'!AK5</f>
        <v>0</v>
      </c>
      <c r="I40" s="118">
        <f>'2009-2010'!S5</f>
        <v>0</v>
      </c>
      <c r="J40" s="119" t="str">
        <f t="shared" si="6"/>
        <v>--</v>
      </c>
      <c r="K40" s="117">
        <f>'2009-2010'!AD5</f>
        <v>898</v>
      </c>
      <c r="L40" s="118">
        <f>'2009-2010'!L5</f>
        <v>854</v>
      </c>
      <c r="M40" s="119" t="str">
        <f t="shared" si="7"/>
        <v>5,2</v>
      </c>
    </row>
    <row r="41" spans="1:13" ht="11.25">
      <c r="A41" s="116" t="s">
        <v>21</v>
      </c>
      <c r="B41" s="117">
        <f>'2009-2010'!AI6</f>
        <v>1</v>
      </c>
      <c r="C41" s="118">
        <f>'2009-2010'!Q6</f>
        <v>2</v>
      </c>
      <c r="D41" s="119" t="str">
        <f t="shared" si="4"/>
        <v>-50,0</v>
      </c>
      <c r="E41" s="117">
        <f>'2009-2010'!AJ6</f>
        <v>208</v>
      </c>
      <c r="F41" s="118">
        <f>'2009-2010'!R6</f>
        <v>8</v>
      </c>
      <c r="G41" s="119" t="str">
        <f t="shared" si="5"/>
        <v>2500,0</v>
      </c>
      <c r="H41" s="117">
        <f>'2009-2010'!AK6</f>
        <v>10</v>
      </c>
      <c r="I41" s="118">
        <f>'2009-2010'!S6</f>
        <v>5</v>
      </c>
      <c r="J41" s="119" t="str">
        <f t="shared" si="6"/>
        <v>100,0</v>
      </c>
      <c r="K41" s="117">
        <f>'2009-2010'!AD6</f>
        <v>1149</v>
      </c>
      <c r="L41" s="118">
        <f>'2009-2010'!L6</f>
        <v>1769</v>
      </c>
      <c r="M41" s="119" t="str">
        <f t="shared" si="7"/>
        <v>-35,0</v>
      </c>
    </row>
    <row r="42" spans="1:13" ht="11.25">
      <c r="A42" s="116" t="s">
        <v>23</v>
      </c>
      <c r="B42" s="117">
        <f>'2009-2010'!AI7</f>
        <v>0</v>
      </c>
      <c r="C42" s="118">
        <f>'2009-2010'!Q7</f>
        <v>0</v>
      </c>
      <c r="D42" s="119" t="str">
        <f t="shared" si="4"/>
        <v>--</v>
      </c>
      <c r="E42" s="117">
        <f>'2009-2010'!AJ7</f>
        <v>53</v>
      </c>
      <c r="F42" s="118">
        <f>'2009-2010'!R7</f>
        <v>1</v>
      </c>
      <c r="G42" s="119" t="str">
        <f t="shared" si="5"/>
        <v>5200,0</v>
      </c>
      <c r="H42" s="117">
        <f>'2009-2010'!AK7</f>
        <v>0</v>
      </c>
      <c r="I42" s="118">
        <f>'2009-2010'!S7</f>
        <v>9</v>
      </c>
      <c r="J42" s="119" t="str">
        <f t="shared" si="6"/>
        <v>-100,0</v>
      </c>
      <c r="K42" s="117">
        <f>'2009-2010'!AD7</f>
        <v>834</v>
      </c>
      <c r="L42" s="118">
        <f>'2009-2010'!L7</f>
        <v>1304</v>
      </c>
      <c r="M42" s="119" t="str">
        <f t="shared" si="7"/>
        <v>-36,0</v>
      </c>
    </row>
    <row r="43" spans="1:13" ht="11.25">
      <c r="A43" s="116" t="s">
        <v>26</v>
      </c>
      <c r="B43" s="117">
        <f>'2009-2010'!AI8</f>
        <v>0</v>
      </c>
      <c r="C43" s="118">
        <f>'2009-2010'!Q8</f>
        <v>1</v>
      </c>
      <c r="D43" s="119" t="str">
        <f t="shared" si="4"/>
        <v>-100,0</v>
      </c>
      <c r="E43" s="117">
        <f>'2009-2010'!AJ8</f>
        <v>0</v>
      </c>
      <c r="F43" s="118">
        <f>'2009-2010'!R8</f>
        <v>0</v>
      </c>
      <c r="G43" s="119" t="str">
        <f t="shared" si="5"/>
        <v>--</v>
      </c>
      <c r="H43" s="117">
        <f>'2009-2010'!AK8</f>
        <v>10</v>
      </c>
      <c r="I43" s="118">
        <f>'2009-2010'!S8</f>
        <v>0</v>
      </c>
      <c r="J43" s="119" t="str">
        <f t="shared" si="6"/>
        <v>--</v>
      </c>
      <c r="K43" s="117">
        <f>'2009-2010'!AD8</f>
        <v>1181</v>
      </c>
      <c r="L43" s="118">
        <f>'2009-2010'!L8</f>
        <v>1257</v>
      </c>
      <c r="M43" s="119" t="str">
        <f t="shared" si="7"/>
        <v>-6,0</v>
      </c>
    </row>
    <row r="44" spans="1:13" ht="11.25">
      <c r="A44" s="116" t="s">
        <v>28</v>
      </c>
      <c r="B44" s="117">
        <f>'2009-2010'!AI9</f>
        <v>0</v>
      </c>
      <c r="C44" s="118">
        <f>'2009-2010'!Q9</f>
        <v>0</v>
      </c>
      <c r="D44" s="119" t="str">
        <f t="shared" si="4"/>
        <v>--</v>
      </c>
      <c r="E44" s="117">
        <f>'2009-2010'!AJ9</f>
        <v>0</v>
      </c>
      <c r="F44" s="118">
        <f>'2009-2010'!R9</f>
        <v>7</v>
      </c>
      <c r="G44" s="119" t="str">
        <f t="shared" si="5"/>
        <v>-100,0</v>
      </c>
      <c r="H44" s="117">
        <f>'2009-2010'!AK9</f>
        <v>0</v>
      </c>
      <c r="I44" s="118">
        <f>'2009-2010'!S9</f>
        <v>5</v>
      </c>
      <c r="J44" s="119" t="str">
        <f t="shared" si="6"/>
        <v>-100,0</v>
      </c>
      <c r="K44" s="117">
        <f>'2009-2010'!AD9</f>
        <v>477</v>
      </c>
      <c r="L44" s="118">
        <f>'2009-2010'!L9</f>
        <v>1559</v>
      </c>
      <c r="M44" s="119" t="str">
        <f t="shared" si="7"/>
        <v>-69,4</v>
      </c>
    </row>
    <row r="45" spans="1:13" ht="11.25">
      <c r="A45" s="116" t="s">
        <v>30</v>
      </c>
      <c r="B45" s="117">
        <f>'2009-2010'!AI10</f>
        <v>1</v>
      </c>
      <c r="C45" s="118">
        <f>'2009-2010'!Q10</f>
        <v>1</v>
      </c>
      <c r="D45" s="119" t="str">
        <f t="shared" si="4"/>
        <v>0,0</v>
      </c>
      <c r="E45" s="117">
        <f>'2009-2010'!AJ10</f>
        <v>9</v>
      </c>
      <c r="F45" s="118">
        <f>'2009-2010'!R10</f>
        <v>0</v>
      </c>
      <c r="G45" s="119" t="str">
        <f t="shared" si="5"/>
        <v>--</v>
      </c>
      <c r="H45" s="117">
        <f>'2009-2010'!AK10</f>
        <v>5</v>
      </c>
      <c r="I45" s="118">
        <f>'2009-2010'!S10</f>
        <v>0</v>
      </c>
      <c r="J45" s="119" t="str">
        <f t="shared" si="6"/>
        <v>--</v>
      </c>
      <c r="K45" s="117">
        <f>'2009-2010'!AD10</f>
        <v>547</v>
      </c>
      <c r="L45" s="118">
        <f>'2009-2010'!L10</f>
        <v>1085</v>
      </c>
      <c r="M45" s="119" t="str">
        <f t="shared" si="7"/>
        <v>-49,6</v>
      </c>
    </row>
    <row r="46" spans="1:13" ht="11.25">
      <c r="A46" s="116" t="s">
        <v>32</v>
      </c>
      <c r="B46" s="117">
        <f>'2009-2010'!AI11</f>
        <v>0</v>
      </c>
      <c r="C46" s="118">
        <f>'2009-2010'!Q11</f>
        <v>0</v>
      </c>
      <c r="D46" s="119" t="str">
        <f t="shared" si="4"/>
        <v>--</v>
      </c>
      <c r="E46" s="117">
        <f>'2009-2010'!AJ11</f>
        <v>0</v>
      </c>
      <c r="F46" s="118">
        <f>'2009-2010'!R11</f>
        <v>0</v>
      </c>
      <c r="G46" s="119" t="str">
        <f t="shared" si="5"/>
        <v>--</v>
      </c>
      <c r="H46" s="117">
        <f>'2009-2010'!AK11</f>
        <v>0</v>
      </c>
      <c r="I46" s="118">
        <f>'2009-2010'!S11</f>
        <v>0</v>
      </c>
      <c r="J46" s="119" t="str">
        <f t="shared" si="6"/>
        <v>--</v>
      </c>
      <c r="K46" s="117">
        <f>'2009-2010'!AD11</f>
        <v>250</v>
      </c>
      <c r="L46" s="118">
        <f>'2009-2010'!L11</f>
        <v>1407</v>
      </c>
      <c r="M46" s="119" t="str">
        <f t="shared" si="7"/>
        <v>-82,2</v>
      </c>
    </row>
    <row r="47" spans="1:13" ht="11.25">
      <c r="A47" s="116" t="s">
        <v>34</v>
      </c>
      <c r="B47" s="117">
        <f>'2009-2010'!AI12</f>
        <v>1</v>
      </c>
      <c r="C47" s="118">
        <f>'2009-2010'!Q12</f>
        <v>0</v>
      </c>
      <c r="D47" s="119" t="str">
        <f t="shared" si="4"/>
        <v>--</v>
      </c>
      <c r="E47" s="117">
        <f>'2009-2010'!AJ12</f>
        <v>1</v>
      </c>
      <c r="F47" s="118">
        <f>'2009-2010'!R12</f>
        <v>0</v>
      </c>
      <c r="G47" s="119" t="str">
        <f t="shared" si="5"/>
        <v>--</v>
      </c>
      <c r="H47" s="117">
        <f>'2009-2010'!AK12</f>
        <v>0</v>
      </c>
      <c r="I47" s="118">
        <f>'2009-2010'!S12</f>
        <v>0</v>
      </c>
      <c r="J47" s="119" t="str">
        <f t="shared" si="6"/>
        <v>--</v>
      </c>
      <c r="K47" s="117">
        <f>'2009-2010'!AD12</f>
        <v>2161</v>
      </c>
      <c r="L47" s="118">
        <f>'2009-2010'!L12</f>
        <v>3009</v>
      </c>
      <c r="M47" s="119" t="str">
        <f t="shared" si="7"/>
        <v>-28,2</v>
      </c>
    </row>
    <row r="48" spans="1:13" ht="11.25">
      <c r="A48" s="116" t="s">
        <v>36</v>
      </c>
      <c r="B48" s="117">
        <f>'2009-2010'!AI13</f>
        <v>0</v>
      </c>
      <c r="C48" s="118">
        <f>'2009-2010'!Q13</f>
        <v>1</v>
      </c>
      <c r="D48" s="119" t="str">
        <f t="shared" si="4"/>
        <v>-100,0</v>
      </c>
      <c r="E48" s="117">
        <f>'2009-2010'!AJ13</f>
        <v>0</v>
      </c>
      <c r="F48" s="118">
        <f>'2009-2010'!R13</f>
        <v>8</v>
      </c>
      <c r="G48" s="119" t="str">
        <f t="shared" si="5"/>
        <v>-100,0</v>
      </c>
      <c r="H48" s="117">
        <f>'2009-2010'!AK13</f>
        <v>0</v>
      </c>
      <c r="I48" s="118">
        <f>'2009-2010'!S13</f>
        <v>10</v>
      </c>
      <c r="J48" s="119" t="str">
        <f t="shared" si="6"/>
        <v>-100,0</v>
      </c>
      <c r="K48" s="117">
        <f>'2009-2010'!AD13</f>
        <v>1908</v>
      </c>
      <c r="L48" s="118">
        <f>'2009-2010'!L13</f>
        <v>2017</v>
      </c>
      <c r="M48" s="119" t="str">
        <f t="shared" si="7"/>
        <v>-5,4</v>
      </c>
    </row>
    <row r="49" spans="1:13" ht="11.25">
      <c r="A49" s="120" t="s">
        <v>38</v>
      </c>
      <c r="B49" s="121">
        <f>'2009-2010'!AI14</f>
        <v>0</v>
      </c>
      <c r="C49" s="122">
        <f>'2009-2010'!Q14</f>
        <v>2</v>
      </c>
      <c r="D49" s="123" t="str">
        <f t="shared" si="4"/>
        <v>-100,0</v>
      </c>
      <c r="E49" s="121">
        <f>'2009-2010'!AJ14</f>
        <v>0</v>
      </c>
      <c r="F49" s="122">
        <f>'2009-2010'!R14</f>
        <v>0</v>
      </c>
      <c r="G49" s="123" t="str">
        <f t="shared" si="5"/>
        <v>--</v>
      </c>
      <c r="H49" s="121">
        <f>'2009-2010'!AK14</f>
        <v>0</v>
      </c>
      <c r="I49" s="122">
        <f>'2009-2010'!S14</f>
        <v>0</v>
      </c>
      <c r="J49" s="123" t="str">
        <f t="shared" si="6"/>
        <v>--</v>
      </c>
      <c r="K49" s="121">
        <f>'2009-2010'!AD14</f>
        <v>1284</v>
      </c>
      <c r="L49" s="122">
        <f>'2009-2010'!L14</f>
        <v>1182</v>
      </c>
      <c r="M49" s="123" t="str">
        <f t="shared" si="7"/>
        <v>8,6</v>
      </c>
    </row>
    <row r="50" spans="1:13" ht="11.25">
      <c r="A50" s="116" t="s">
        <v>41</v>
      </c>
      <c r="B50" s="117">
        <f>'2009-2010'!AI27</f>
        <v>0</v>
      </c>
      <c r="C50" s="118">
        <f>'2009-2010'!Q27</f>
        <v>0</v>
      </c>
      <c r="D50" s="119" t="str">
        <f t="shared" si="4"/>
        <v>--</v>
      </c>
      <c r="E50" s="117">
        <f>'2009-2010'!AJ27</f>
        <v>0</v>
      </c>
      <c r="F50" s="118">
        <f>'2009-2010'!R27</f>
        <v>0</v>
      </c>
      <c r="G50" s="119" t="str">
        <f t="shared" si="5"/>
        <v>--</v>
      </c>
      <c r="H50" s="117">
        <f>'2009-2010'!AK27</f>
        <v>0</v>
      </c>
      <c r="I50" s="118">
        <f>'2009-2010'!S27</f>
        <v>0</v>
      </c>
      <c r="J50" s="119" t="str">
        <f t="shared" si="6"/>
        <v>--</v>
      </c>
      <c r="K50" s="117">
        <f>'2009-2010'!AD27</f>
        <v>2531</v>
      </c>
      <c r="L50" s="118">
        <f>'2009-2010'!L27</f>
        <v>19</v>
      </c>
      <c r="M50" s="119" t="str">
        <f t="shared" si="7"/>
        <v>13221,1</v>
      </c>
    </row>
    <row r="51" spans="1:13" ht="11.25">
      <c r="A51" s="116" t="s">
        <v>42</v>
      </c>
      <c r="B51" s="117">
        <f>'2009-2010'!AI15</f>
        <v>2</v>
      </c>
      <c r="C51" s="118">
        <f>'2009-2010'!Q15</f>
        <v>0</v>
      </c>
      <c r="D51" s="119" t="str">
        <f t="shared" si="4"/>
        <v>--</v>
      </c>
      <c r="E51" s="117">
        <f>'2009-2010'!AJ15</f>
        <v>0</v>
      </c>
      <c r="F51" s="118">
        <f>'2009-2010'!R15</f>
        <v>0</v>
      </c>
      <c r="G51" s="119" t="str">
        <f t="shared" si="5"/>
        <v>--</v>
      </c>
      <c r="H51" s="117">
        <f>'2009-2010'!AK15</f>
        <v>20</v>
      </c>
      <c r="I51" s="118">
        <f>'2009-2010'!S15</f>
        <v>0</v>
      </c>
      <c r="J51" s="119" t="str">
        <f t="shared" si="6"/>
        <v>--</v>
      </c>
      <c r="K51" s="117">
        <f>'2009-2010'!AD15</f>
        <v>2519</v>
      </c>
      <c r="L51" s="118">
        <f>'2009-2010'!L15</f>
        <v>620</v>
      </c>
      <c r="M51" s="119" t="str">
        <f t="shared" si="7"/>
        <v>306,3</v>
      </c>
    </row>
    <row r="52" spans="1:13" ht="11.25">
      <c r="A52" s="116" t="s">
        <v>44</v>
      </c>
      <c r="B52" s="117">
        <f>'2009-2010'!AI16</f>
        <v>0</v>
      </c>
      <c r="C52" s="118">
        <f>'2009-2010'!Q16</f>
        <v>0</v>
      </c>
      <c r="D52" s="119" t="str">
        <f t="shared" si="4"/>
        <v>--</v>
      </c>
      <c r="E52" s="117">
        <f>'2009-2010'!AJ16</f>
        <v>0</v>
      </c>
      <c r="F52" s="118">
        <f>'2009-2010'!R16</f>
        <v>0</v>
      </c>
      <c r="G52" s="119" t="str">
        <f t="shared" si="5"/>
        <v>--</v>
      </c>
      <c r="H52" s="117">
        <f>'2009-2010'!AK16</f>
        <v>0</v>
      </c>
      <c r="I52" s="118">
        <f>'2009-2010'!S16</f>
        <v>0</v>
      </c>
      <c r="J52" s="119" t="str">
        <f t="shared" si="6"/>
        <v>--</v>
      </c>
      <c r="K52" s="117">
        <f>'2009-2010'!AD16</f>
        <v>378</v>
      </c>
      <c r="L52" s="118">
        <f>'2009-2010'!L16</f>
        <v>1434</v>
      </c>
      <c r="M52" s="119" t="str">
        <f t="shared" si="7"/>
        <v>-73,6</v>
      </c>
    </row>
    <row r="53" spans="1:13" ht="11.25">
      <c r="A53" s="616" t="s">
        <v>46</v>
      </c>
      <c r="B53" s="617">
        <f>'2009-2010'!AI17</f>
        <v>0</v>
      </c>
      <c r="C53" s="618">
        <f>'2009-2010'!Q17</f>
        <v>0</v>
      </c>
      <c r="D53" s="619" t="str">
        <f t="shared" si="4"/>
        <v>--</v>
      </c>
      <c r="E53" s="617">
        <f>'2009-2010'!AJ17</f>
        <v>0</v>
      </c>
      <c r="F53" s="618">
        <f>'2009-2010'!R17</f>
        <v>0</v>
      </c>
      <c r="G53" s="619" t="str">
        <f t="shared" si="5"/>
        <v>--</v>
      </c>
      <c r="H53" s="617">
        <f>'2009-2010'!AK17</f>
        <v>0</v>
      </c>
      <c r="I53" s="618">
        <f>'2009-2010'!S17</f>
        <v>0</v>
      </c>
      <c r="J53" s="619" t="str">
        <f t="shared" si="6"/>
        <v>--</v>
      </c>
      <c r="K53" s="617">
        <f>'2009-2010'!AD17</f>
        <v>1174</v>
      </c>
      <c r="L53" s="618">
        <f>'2009-2010'!L17</f>
        <v>842</v>
      </c>
      <c r="M53" s="619" t="str">
        <f t="shared" si="7"/>
        <v>39,4</v>
      </c>
    </row>
    <row r="54" spans="1:13" ht="11.25">
      <c r="A54" s="116" t="s">
        <v>48</v>
      </c>
      <c r="B54" s="117">
        <f>'2009-2010'!AI18</f>
        <v>2</v>
      </c>
      <c r="C54" s="118">
        <f>'2009-2010'!Q18</f>
        <v>0</v>
      </c>
      <c r="D54" s="119" t="str">
        <f t="shared" si="4"/>
        <v>--</v>
      </c>
      <c r="E54" s="117">
        <f>'2009-2010'!AJ18</f>
        <v>5</v>
      </c>
      <c r="F54" s="118">
        <f>'2009-2010'!R18</f>
        <v>0</v>
      </c>
      <c r="G54" s="119" t="str">
        <f t="shared" si="5"/>
        <v>--</v>
      </c>
      <c r="H54" s="117">
        <f>'2009-2010'!AK18</f>
        <v>0</v>
      </c>
      <c r="I54" s="118">
        <f>'2009-2010'!S18</f>
        <v>4</v>
      </c>
      <c r="J54" s="119" t="str">
        <f t="shared" si="6"/>
        <v>-100,0</v>
      </c>
      <c r="K54" s="117">
        <f>'2009-2010'!AD18</f>
        <v>1372</v>
      </c>
      <c r="L54" s="118">
        <f>'2009-2010'!L18</f>
        <v>1958</v>
      </c>
      <c r="M54" s="119" t="str">
        <f t="shared" si="7"/>
        <v>-29,9</v>
      </c>
    </row>
    <row r="55" spans="1:13" ht="11.25">
      <c r="A55" s="116" t="s">
        <v>50</v>
      </c>
      <c r="B55" s="117">
        <f>'2009-2010'!AI19</f>
        <v>1</v>
      </c>
      <c r="C55" s="118">
        <f>'2009-2010'!Q19</f>
        <v>0</v>
      </c>
      <c r="D55" s="119" t="str">
        <f t="shared" si="4"/>
        <v>--</v>
      </c>
      <c r="E55" s="117">
        <f>'2009-2010'!AJ19</f>
        <v>9</v>
      </c>
      <c r="F55" s="118">
        <f>'2009-2010'!R19</f>
        <v>0</v>
      </c>
      <c r="G55" s="119" t="str">
        <f t="shared" si="5"/>
        <v>--</v>
      </c>
      <c r="H55" s="117">
        <f>'2009-2010'!AK19</f>
        <v>0</v>
      </c>
      <c r="I55" s="118">
        <f>'2009-2010'!S19</f>
        <v>0</v>
      </c>
      <c r="J55" s="119" t="str">
        <f t="shared" si="6"/>
        <v>--</v>
      </c>
      <c r="K55" s="117">
        <f>'2009-2010'!AD19</f>
        <v>396</v>
      </c>
      <c r="L55" s="118">
        <f>'2009-2010'!L19</f>
        <v>250</v>
      </c>
      <c r="M55" s="119" t="str">
        <f t="shared" si="7"/>
        <v>58,4</v>
      </c>
    </row>
    <row r="56" spans="1:13" ht="11.25">
      <c r="A56" s="116" t="s">
        <v>52</v>
      </c>
      <c r="B56" s="117">
        <f>'2009-2010'!AI20</f>
        <v>0</v>
      </c>
      <c r="C56" s="118">
        <f>'2009-2010'!Q20</f>
        <v>0</v>
      </c>
      <c r="D56" s="119" t="str">
        <f t="shared" si="4"/>
        <v>--</v>
      </c>
      <c r="E56" s="117">
        <f>'2009-2010'!AJ20</f>
        <v>5</v>
      </c>
      <c r="F56" s="118">
        <f>'2009-2010'!R20</f>
        <v>0</v>
      </c>
      <c r="G56" s="119" t="str">
        <f t="shared" si="5"/>
        <v>--</v>
      </c>
      <c r="H56" s="117">
        <f>'2009-2010'!AK20</f>
        <v>0</v>
      </c>
      <c r="I56" s="118">
        <f>'2009-2010'!S20</f>
        <v>0</v>
      </c>
      <c r="J56" s="119" t="str">
        <f t="shared" si="6"/>
        <v>--</v>
      </c>
      <c r="K56" s="117">
        <f>'2009-2010'!AD20</f>
        <v>1136</v>
      </c>
      <c r="L56" s="118">
        <f>'2009-2010'!L20</f>
        <v>1441</v>
      </c>
      <c r="M56" s="119" t="str">
        <f t="shared" si="7"/>
        <v>-21,2</v>
      </c>
    </row>
    <row r="57" spans="1:13" ht="11.25">
      <c r="A57" s="116" t="s">
        <v>54</v>
      </c>
      <c r="B57" s="117">
        <f>'2009-2010'!AI21</f>
        <v>1</v>
      </c>
      <c r="C57" s="118">
        <f>'2009-2010'!Q21</f>
        <v>0</v>
      </c>
      <c r="D57" s="119" t="str">
        <f t="shared" si="4"/>
        <v>--</v>
      </c>
      <c r="E57" s="117">
        <f>'2009-2010'!AJ21</f>
        <v>1</v>
      </c>
      <c r="F57" s="118">
        <f>'2009-2010'!R21</f>
        <v>0</v>
      </c>
      <c r="G57" s="119" t="str">
        <f t="shared" si="5"/>
        <v>--</v>
      </c>
      <c r="H57" s="117">
        <f>'2009-2010'!AK21</f>
        <v>0</v>
      </c>
      <c r="I57" s="118">
        <f>'2009-2010'!S21</f>
        <v>0</v>
      </c>
      <c r="J57" s="119" t="str">
        <f t="shared" si="6"/>
        <v>--</v>
      </c>
      <c r="K57" s="117">
        <f>'2009-2010'!AD21</f>
        <v>808</v>
      </c>
      <c r="L57" s="118">
        <f>'2009-2010'!L21</f>
        <v>1250</v>
      </c>
      <c r="M57" s="119" t="str">
        <f t="shared" si="7"/>
        <v>-35,4</v>
      </c>
    </row>
    <row r="58" spans="1:13" ht="11.25">
      <c r="A58" s="116" t="s">
        <v>56</v>
      </c>
      <c r="B58" s="117">
        <f>'2009-2010'!AI22</f>
        <v>0</v>
      </c>
      <c r="C58" s="118">
        <f>'2009-2010'!Q22</f>
        <v>0</v>
      </c>
      <c r="D58" s="119" t="str">
        <f t="shared" si="4"/>
        <v>--</v>
      </c>
      <c r="E58" s="117">
        <f>'2009-2010'!AJ22</f>
        <v>0</v>
      </c>
      <c r="F58" s="118">
        <f>'2009-2010'!R22</f>
        <v>1</v>
      </c>
      <c r="G58" s="119" t="str">
        <f t="shared" si="5"/>
        <v>-100,0</v>
      </c>
      <c r="H58" s="117">
        <f>'2009-2010'!AK22</f>
        <v>0</v>
      </c>
      <c r="I58" s="118">
        <f>'2009-2010'!S22</f>
        <v>1</v>
      </c>
      <c r="J58" s="119" t="str">
        <f t="shared" si="6"/>
        <v>-100,0</v>
      </c>
      <c r="K58" s="117">
        <f>'2009-2010'!AD22</f>
        <v>104</v>
      </c>
      <c r="L58" s="118">
        <f>'2009-2010'!L22</f>
        <v>530</v>
      </c>
      <c r="M58" s="119" t="str">
        <f t="shared" si="7"/>
        <v>-80,4</v>
      </c>
    </row>
    <row r="59" spans="1:13" ht="11.25">
      <c r="A59" s="116" t="s">
        <v>58</v>
      </c>
      <c r="B59" s="117">
        <f>'2009-2010'!AI23</f>
        <v>0</v>
      </c>
      <c r="C59" s="118">
        <f>'2009-2010'!Q23</f>
        <v>0</v>
      </c>
      <c r="D59" s="119" t="str">
        <f t="shared" si="4"/>
        <v>--</v>
      </c>
      <c r="E59" s="117">
        <f>'2009-2010'!AJ23</f>
        <v>0</v>
      </c>
      <c r="F59" s="118">
        <f>'2009-2010'!R23</f>
        <v>0</v>
      </c>
      <c r="G59" s="119" t="str">
        <f t="shared" si="5"/>
        <v>--</v>
      </c>
      <c r="H59" s="117">
        <f>'2009-2010'!AK23</f>
        <v>0</v>
      </c>
      <c r="I59" s="118">
        <f>'2009-2010'!S23</f>
        <v>0</v>
      </c>
      <c r="J59" s="119" t="str">
        <f t="shared" si="6"/>
        <v>--</v>
      </c>
      <c r="K59" s="117">
        <f>'2009-2010'!AD23</f>
        <v>641</v>
      </c>
      <c r="L59" s="118">
        <f>'2009-2010'!L23</f>
        <v>520</v>
      </c>
      <c r="M59" s="119" t="str">
        <f t="shared" si="7"/>
        <v>23,3</v>
      </c>
    </row>
    <row r="60" spans="1:13" ht="11.25">
      <c r="A60" s="120" t="s">
        <v>11</v>
      </c>
      <c r="B60" s="121">
        <f>'2009-2010'!AI24</f>
        <v>0</v>
      </c>
      <c r="C60" s="122">
        <f>'2009-2010'!Q24</f>
        <v>0</v>
      </c>
      <c r="D60" s="123" t="str">
        <f aca="true" t="shared" si="8" ref="D60:D66">IF(C60&lt;&gt;0,TEXT(((B60-C60)/C60)*100,"0,0"),"--")</f>
        <v>--</v>
      </c>
      <c r="E60" s="121">
        <f>'2009-2010'!AJ24</f>
        <v>0</v>
      </c>
      <c r="F60" s="122">
        <f>'2009-2010'!R24</f>
        <v>0</v>
      </c>
      <c r="G60" s="123" t="str">
        <f aca="true" t="shared" si="9" ref="G60:G66">IF(F60&lt;&gt;0,TEXT(((E60-F60)/F60)*100,"0,0"),"--")</f>
        <v>--</v>
      </c>
      <c r="H60" s="121">
        <f>'2009-2010'!AK24</f>
        <v>0</v>
      </c>
      <c r="I60" s="122">
        <f>'2009-2010'!S24</f>
        <v>0</v>
      </c>
      <c r="J60" s="123" t="str">
        <f aca="true" t="shared" si="10" ref="J60:J66">IF(I60&lt;&gt;0,TEXT(((H60-I60)/I60)*100,"0,0"),"--")</f>
        <v>--</v>
      </c>
      <c r="K60" s="121">
        <f>'2009-2010'!AD24</f>
        <v>220</v>
      </c>
      <c r="L60" s="122">
        <f>'2009-2010'!L24</f>
        <v>272</v>
      </c>
      <c r="M60" s="123" t="str">
        <f aca="true" t="shared" si="11" ref="M60:M66">IF(L60&lt;&gt;0,TEXT(((K60-L60)/L60)*100,"0,0"),"--")</f>
        <v>-19,1</v>
      </c>
    </row>
    <row r="61" spans="1:13" ht="11.25">
      <c r="A61" s="124" t="s">
        <v>12</v>
      </c>
      <c r="B61" s="125">
        <f>'2009-2010'!AI26</f>
        <v>0</v>
      </c>
      <c r="C61" s="126">
        <f>'2009-2010'!Q26</f>
        <v>0</v>
      </c>
      <c r="D61" s="127" t="str">
        <f t="shared" si="8"/>
        <v>--</v>
      </c>
      <c r="E61" s="125">
        <f>'2009-2010'!AJ26</f>
        <v>0</v>
      </c>
      <c r="F61" s="126">
        <f>'2009-2010'!R26</f>
        <v>0</v>
      </c>
      <c r="G61" s="127" t="str">
        <f t="shared" si="9"/>
        <v>--</v>
      </c>
      <c r="H61" s="125">
        <f>'2009-2010'!AK26</f>
        <v>0</v>
      </c>
      <c r="I61" s="126">
        <f>'2009-2010'!S26</f>
        <v>0</v>
      </c>
      <c r="J61" s="127" t="str">
        <f t="shared" si="10"/>
        <v>--</v>
      </c>
      <c r="K61" s="125">
        <f>'2009-2010'!AD26</f>
        <v>591</v>
      </c>
      <c r="L61" s="126">
        <f>'2009-2010'!L26</f>
        <v>209</v>
      </c>
      <c r="M61" s="127" t="str">
        <f t="shared" si="11"/>
        <v>182,8</v>
      </c>
    </row>
    <row r="62" spans="1:13" ht="11.25">
      <c r="A62" s="128" t="s">
        <v>13</v>
      </c>
      <c r="B62" s="129">
        <f>'2009-2010'!AI25</f>
        <v>0</v>
      </c>
      <c r="C62" s="130">
        <f>'2009-2010'!Q25</f>
        <v>0</v>
      </c>
      <c r="D62" s="131" t="str">
        <f t="shared" si="8"/>
        <v>--</v>
      </c>
      <c r="E62" s="129">
        <f>'2009-2010'!AJ25</f>
        <v>0</v>
      </c>
      <c r="F62" s="130">
        <f>'2009-2010'!R25</f>
        <v>0</v>
      </c>
      <c r="G62" s="131" t="str">
        <f t="shared" si="9"/>
        <v>--</v>
      </c>
      <c r="H62" s="129">
        <f>'2009-2010'!AK25</f>
        <v>0</v>
      </c>
      <c r="I62" s="130">
        <f>'2009-2010'!S25</f>
        <v>0</v>
      </c>
      <c r="J62" s="131" t="str">
        <f t="shared" si="10"/>
        <v>--</v>
      </c>
      <c r="K62" s="129">
        <f>'2009-2010'!AD25</f>
        <v>456</v>
      </c>
      <c r="L62" s="130">
        <f>'2009-2010'!L25</f>
        <v>593</v>
      </c>
      <c r="M62" s="131" t="str">
        <f t="shared" si="11"/>
        <v>-23,1</v>
      </c>
    </row>
    <row r="63" spans="1:13" ht="11.25">
      <c r="A63" s="116" t="s">
        <v>10</v>
      </c>
      <c r="B63" s="117">
        <f>SUM(B60:B62)</f>
        <v>0</v>
      </c>
      <c r="C63" s="118">
        <f>SUM(C60:C62)</f>
        <v>0</v>
      </c>
      <c r="D63" s="119" t="str">
        <f t="shared" si="8"/>
        <v>--</v>
      </c>
      <c r="E63" s="117">
        <f>SUM(E60:E62)</f>
        <v>0</v>
      </c>
      <c r="F63" s="118">
        <f>SUM(F60:F62)</f>
        <v>0</v>
      </c>
      <c r="G63" s="119" t="str">
        <f t="shared" si="9"/>
        <v>--</v>
      </c>
      <c r="H63" s="117">
        <f>SUM(H60:H62)</f>
        <v>0</v>
      </c>
      <c r="I63" s="118">
        <f>SUM(I60:I62)</f>
        <v>0</v>
      </c>
      <c r="J63" s="119" t="str">
        <f t="shared" si="10"/>
        <v>--</v>
      </c>
      <c r="K63" s="117">
        <f>SUM(K60:K62)</f>
        <v>1267</v>
      </c>
      <c r="L63" s="118">
        <f>SUM(L60:L62)</f>
        <v>1074</v>
      </c>
      <c r="M63" s="119" t="str">
        <f t="shared" si="11"/>
        <v>18,0</v>
      </c>
    </row>
    <row r="64" spans="1:13" ht="11.25" hidden="1">
      <c r="A64" s="132" t="s">
        <v>60</v>
      </c>
      <c r="B64" s="133"/>
      <c r="C64" s="118"/>
      <c r="D64" s="119" t="str">
        <f t="shared" si="8"/>
        <v>--</v>
      </c>
      <c r="E64" s="117"/>
      <c r="F64" s="118"/>
      <c r="G64" s="119" t="str">
        <f t="shared" si="9"/>
        <v>--</v>
      </c>
      <c r="H64" s="117"/>
      <c r="I64" s="118"/>
      <c r="J64" s="119" t="str">
        <f t="shared" si="10"/>
        <v>--</v>
      </c>
      <c r="K64" s="117"/>
      <c r="L64" s="118"/>
      <c r="M64" s="119" t="str">
        <f t="shared" si="11"/>
        <v>--</v>
      </c>
    </row>
    <row r="65" spans="1:13" ht="11.25" hidden="1">
      <c r="A65" s="132" t="s">
        <v>106</v>
      </c>
      <c r="B65" s="133"/>
      <c r="C65" s="118"/>
      <c r="D65" s="119" t="str">
        <f t="shared" si="8"/>
        <v>--</v>
      </c>
      <c r="E65" s="117"/>
      <c r="F65" s="118"/>
      <c r="G65" s="119" t="str">
        <f t="shared" si="9"/>
        <v>--</v>
      </c>
      <c r="H65" s="117"/>
      <c r="I65" s="118"/>
      <c r="J65" s="119" t="str">
        <f t="shared" si="10"/>
        <v>--</v>
      </c>
      <c r="K65" s="117"/>
      <c r="L65" s="118"/>
      <c r="M65" s="119" t="str">
        <f t="shared" si="11"/>
        <v>--</v>
      </c>
    </row>
    <row r="66" spans="1:13" ht="11.25">
      <c r="A66" s="132" t="s">
        <v>107</v>
      </c>
      <c r="B66" s="134">
        <f>SUM(B38:B62)</f>
        <v>10</v>
      </c>
      <c r="C66" s="135">
        <f>SUM(C38:C62)</f>
        <v>54</v>
      </c>
      <c r="D66" s="119" t="str">
        <f t="shared" si="8"/>
        <v>-81,5</v>
      </c>
      <c r="E66" s="136">
        <f>SUM(E38:E62)</f>
        <v>291</v>
      </c>
      <c r="F66" s="135">
        <f>SUM(F38:F62)</f>
        <v>25</v>
      </c>
      <c r="G66" s="119" t="str">
        <f t="shared" si="9"/>
        <v>1064,0</v>
      </c>
      <c r="H66" s="136">
        <f>SUM(H38:H62)</f>
        <v>45</v>
      </c>
      <c r="I66" s="135">
        <f>SUM(I38:I62)</f>
        <v>34</v>
      </c>
      <c r="J66" s="119" t="str">
        <f t="shared" si="10"/>
        <v>32,4</v>
      </c>
      <c r="K66" s="136">
        <f>SUM(K38:K62)</f>
        <v>24607</v>
      </c>
      <c r="L66" s="135">
        <f>SUM(L38:L62)</f>
        <v>27888</v>
      </c>
      <c r="M66" s="119" t="str">
        <f t="shared" si="11"/>
        <v>-11,8</v>
      </c>
    </row>
  </sheetData>
  <sheetProtection selectLockedCells="1" selectUnlockedCells="1"/>
  <mergeCells count="10">
    <mergeCell ref="K4:M4"/>
    <mergeCell ref="B36:D36"/>
    <mergeCell ref="E36:G36"/>
    <mergeCell ref="H36:J36"/>
    <mergeCell ref="K36:M36"/>
    <mergeCell ref="A1:J1"/>
    <mergeCell ref="A2:J2"/>
    <mergeCell ref="B4:D4"/>
    <mergeCell ref="E4:G4"/>
    <mergeCell ref="H4:J4"/>
  </mergeCells>
  <printOptions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Normal="130" zoomScaleSheetLayoutView="100" workbookViewId="0" topLeftCell="A37">
      <selection activeCell="A53" sqref="A53:IV53"/>
    </sheetView>
  </sheetViews>
  <sheetFormatPr defaultColWidth="9.140625" defaultRowHeight="12.75"/>
  <cols>
    <col min="1" max="1" width="21.00390625" style="60" customWidth="1"/>
    <col min="2" max="3" width="8.7109375" style="60" customWidth="1"/>
    <col min="4" max="4" width="7.7109375" style="60" customWidth="1"/>
    <col min="5" max="5" width="5.7109375" style="60" customWidth="1"/>
    <col min="6" max="6" width="5.00390625" style="60" customWidth="1"/>
    <col min="7" max="7" width="6.28125" style="60" customWidth="1"/>
    <col min="8" max="9" width="5.00390625" style="60" customWidth="1"/>
    <col min="10" max="10" width="6.7109375" style="60" customWidth="1"/>
    <col min="11" max="12" width="5.00390625" style="60" customWidth="1"/>
    <col min="13" max="13" width="6.7109375" style="60" customWidth="1"/>
    <col min="14" max="16384" width="9.140625" style="60" customWidth="1"/>
  </cols>
  <sheetData>
    <row r="1" spans="1:10" ht="11.25">
      <c r="A1" s="563" t="s">
        <v>101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1.25">
      <c r="A2" s="563" t="str">
        <f>Grig1!A2</f>
        <v> Сведения по пожарам в Чувашской Республике с 00ч.00мин. 01.01.2012г. по 00ч.00мин. 20.12.2012г.</v>
      </c>
      <c r="B2" s="563"/>
      <c r="C2" s="563"/>
      <c r="D2" s="563"/>
      <c r="E2" s="563"/>
      <c r="F2" s="563"/>
      <c r="G2" s="563"/>
      <c r="H2" s="563"/>
      <c r="I2" s="563"/>
      <c r="J2" s="563"/>
    </row>
    <row r="3" spans="1:10" ht="11.25">
      <c r="A3" s="563" t="s">
        <v>112</v>
      </c>
      <c r="B3" s="563"/>
      <c r="C3" s="563"/>
      <c r="D3" s="563"/>
      <c r="E3" s="563"/>
      <c r="F3" s="563"/>
      <c r="G3" s="563"/>
      <c r="H3" s="563"/>
      <c r="I3" s="563"/>
      <c r="J3" s="563"/>
    </row>
    <row r="4" spans="1:13" ht="11.25">
      <c r="A4" s="110" t="s">
        <v>2</v>
      </c>
      <c r="B4" s="564" t="s">
        <v>113</v>
      </c>
      <c r="C4" s="564"/>
      <c r="D4" s="564"/>
      <c r="E4" s="564" t="s">
        <v>114</v>
      </c>
      <c r="F4" s="564"/>
      <c r="G4" s="564"/>
      <c r="H4" s="564" t="s">
        <v>115</v>
      </c>
      <c r="I4" s="564"/>
      <c r="J4" s="564"/>
      <c r="K4" s="564" t="s">
        <v>116</v>
      </c>
      <c r="L4" s="564"/>
      <c r="M4" s="564"/>
    </row>
    <row r="5" spans="1:13" ht="12">
      <c r="A5" s="111"/>
      <c r="B5" s="112">
        <v>2012</v>
      </c>
      <c r="C5" s="113">
        <v>2011</v>
      </c>
      <c r="D5" s="114" t="s">
        <v>9</v>
      </c>
      <c r="E5" s="112">
        <f>B5</f>
        <v>2012</v>
      </c>
      <c r="F5" s="115">
        <f>C5</f>
        <v>2011</v>
      </c>
      <c r="G5" s="114" t="s">
        <v>9</v>
      </c>
      <c r="H5" s="112">
        <f>B5</f>
        <v>2012</v>
      </c>
      <c r="I5" s="115">
        <f>C5</f>
        <v>2011</v>
      </c>
      <c r="J5" s="114" t="s">
        <v>9</v>
      </c>
      <c r="K5" s="112">
        <f>B5</f>
        <v>2012</v>
      </c>
      <c r="L5" s="115">
        <f>C5</f>
        <v>2011</v>
      </c>
      <c r="M5" s="114" t="s">
        <v>9</v>
      </c>
    </row>
    <row r="6" spans="1:13" ht="11.25">
      <c r="A6" s="116" t="s">
        <v>14</v>
      </c>
      <c r="B6" s="137">
        <f>'2009-2010'!AF3</f>
        <v>0</v>
      </c>
      <c r="C6" s="138">
        <f>'2009-2010'!N3</f>
        <v>0</v>
      </c>
      <c r="D6" s="139" t="str">
        <f aca="true" t="shared" si="0" ref="D6:D34">IF(C6&lt;&gt;0,TEXT(((B6-C6)/C6)*100,"0,0"),"--")</f>
        <v>--</v>
      </c>
      <c r="E6" s="137">
        <f>'2009-2010'!AH3</f>
        <v>0</v>
      </c>
      <c r="F6" s="138">
        <f>'2009-2010'!P3</f>
        <v>0</v>
      </c>
      <c r="G6" s="140" t="str">
        <f aca="true" t="shared" si="1" ref="G6:G34">IF(F6&lt;&gt;0,TEXT(((E6-F6)/F6)*100,"0,0"),"--")</f>
        <v>--</v>
      </c>
      <c r="H6" s="137">
        <f>'2009-2010'!AG3</f>
        <v>6</v>
      </c>
      <c r="I6" s="138">
        <f>'2009-2010'!O3</f>
        <v>0</v>
      </c>
      <c r="J6" s="140" t="str">
        <f aca="true" t="shared" si="2" ref="J6:J34">IF(I6&lt;&gt;0,TEXT(((H6-I6)/I6)*100,"0,0"),"--")</f>
        <v>--</v>
      </c>
      <c r="K6" s="137">
        <f>'2009-2010'!X3</f>
        <v>7</v>
      </c>
      <c r="L6" s="138">
        <f>'2009-2010'!F3</f>
        <v>10</v>
      </c>
      <c r="M6" s="140" t="str">
        <f aca="true" t="shared" si="3" ref="M6:M34">IF(L6&lt;&gt;0,TEXT(((K6-L6)/L6)*100,"0,0"),"--")</f>
        <v>-30,0</v>
      </c>
    </row>
    <row r="7" spans="1:13" ht="11.25">
      <c r="A7" s="116" t="s">
        <v>17</v>
      </c>
      <c r="B7" s="137">
        <f>'2009-2010'!AF4</f>
        <v>10</v>
      </c>
      <c r="C7" s="138">
        <f>'2009-2010'!N4</f>
        <v>6</v>
      </c>
      <c r="D7" s="139" t="str">
        <f t="shared" si="0"/>
        <v>66,7</v>
      </c>
      <c r="E7" s="137">
        <f>'2009-2010'!AH4</f>
        <v>0</v>
      </c>
      <c r="F7" s="138">
        <f>'2009-2010'!P4</f>
        <v>0</v>
      </c>
      <c r="G7" s="140" t="str">
        <f t="shared" si="1"/>
        <v>--</v>
      </c>
      <c r="H7" s="137">
        <f>'2009-2010'!AG4</f>
        <v>0</v>
      </c>
      <c r="I7" s="138">
        <f>'2009-2010'!O4</f>
        <v>77</v>
      </c>
      <c r="J7" s="140" t="str">
        <f t="shared" si="2"/>
        <v>-100,0</v>
      </c>
      <c r="K7" s="137">
        <f>'2009-2010'!X4</f>
        <v>0</v>
      </c>
      <c r="L7" s="138">
        <f>'2009-2010'!F4</f>
        <v>3</v>
      </c>
      <c r="M7" s="140" t="str">
        <f t="shared" si="3"/>
        <v>-100,0</v>
      </c>
    </row>
    <row r="8" spans="1:13" ht="11.25">
      <c r="A8" s="116" t="s">
        <v>19</v>
      </c>
      <c r="B8" s="137">
        <f>'2009-2010'!AF5</f>
        <v>0</v>
      </c>
      <c r="C8" s="138">
        <f>'2009-2010'!N5</f>
        <v>0</v>
      </c>
      <c r="D8" s="139" t="str">
        <f t="shared" si="0"/>
        <v>--</v>
      </c>
      <c r="E8" s="137">
        <f>'2009-2010'!AH5</f>
        <v>0</v>
      </c>
      <c r="F8" s="138">
        <f>'2009-2010'!P5</f>
        <v>0</v>
      </c>
      <c r="G8" s="140" t="str">
        <f t="shared" si="1"/>
        <v>--</v>
      </c>
      <c r="H8" s="137">
        <f>'2009-2010'!AG5</f>
        <v>6</v>
      </c>
      <c r="I8" s="138">
        <f>'2009-2010'!O5</f>
        <v>0</v>
      </c>
      <c r="J8" s="140" t="str">
        <f t="shared" si="2"/>
        <v>--</v>
      </c>
      <c r="K8" s="137">
        <f>'2009-2010'!X5</f>
        <v>2</v>
      </c>
      <c r="L8" s="138">
        <f>'2009-2010'!F5</f>
        <v>1</v>
      </c>
      <c r="M8" s="140" t="str">
        <f t="shared" si="3"/>
        <v>100,0</v>
      </c>
    </row>
    <row r="9" spans="1:13" ht="11.25">
      <c r="A9" s="116" t="s">
        <v>21</v>
      </c>
      <c r="B9" s="137">
        <f>'2009-2010'!AF6</f>
        <v>1</v>
      </c>
      <c r="C9" s="138">
        <f>'2009-2010'!N6</f>
        <v>0</v>
      </c>
      <c r="D9" s="139" t="str">
        <f t="shared" si="0"/>
        <v>--</v>
      </c>
      <c r="E9" s="137">
        <f>'2009-2010'!AH6</f>
        <v>0</v>
      </c>
      <c r="F9" s="138">
        <f>'2009-2010'!P6</f>
        <v>0</v>
      </c>
      <c r="G9" s="140" t="str">
        <f t="shared" si="1"/>
        <v>--</v>
      </c>
      <c r="H9" s="137">
        <f>'2009-2010'!AG6</f>
        <v>21</v>
      </c>
      <c r="I9" s="138">
        <f>'2009-2010'!O6</f>
        <v>20</v>
      </c>
      <c r="J9" s="140" t="str">
        <f t="shared" si="2"/>
        <v>5,0</v>
      </c>
      <c r="K9" s="137">
        <f>'2009-2010'!X6</f>
        <v>1</v>
      </c>
      <c r="L9" s="138">
        <f>'2009-2010'!F6</f>
        <v>14</v>
      </c>
      <c r="M9" s="140" t="str">
        <f t="shared" si="3"/>
        <v>-92,9</v>
      </c>
    </row>
    <row r="10" spans="1:13" ht="11.25">
      <c r="A10" s="116" t="s">
        <v>23</v>
      </c>
      <c r="B10" s="137">
        <f>'2009-2010'!AF7</f>
        <v>0</v>
      </c>
      <c r="C10" s="138">
        <f>'2009-2010'!N7</f>
        <v>0</v>
      </c>
      <c r="D10" s="139" t="str">
        <f t="shared" si="0"/>
        <v>--</v>
      </c>
      <c r="E10" s="137">
        <f>'2009-2010'!AH7</f>
        <v>0</v>
      </c>
      <c r="F10" s="138">
        <f>'2009-2010'!P7</f>
        <v>0</v>
      </c>
      <c r="G10" s="140" t="str">
        <f t="shared" si="1"/>
        <v>--</v>
      </c>
      <c r="H10" s="137">
        <f>'2009-2010'!AG7</f>
        <v>2</v>
      </c>
      <c r="I10" s="138">
        <f>'2009-2010'!O7</f>
        <v>4</v>
      </c>
      <c r="J10" s="140" t="str">
        <f t="shared" si="2"/>
        <v>-50,0</v>
      </c>
      <c r="K10" s="137">
        <f>'2009-2010'!X7</f>
        <v>0</v>
      </c>
      <c r="L10" s="138">
        <f>'2009-2010'!F7</f>
        <v>5</v>
      </c>
      <c r="M10" s="140" t="str">
        <f t="shared" si="3"/>
        <v>-100,0</v>
      </c>
    </row>
    <row r="11" spans="1:13" ht="11.25">
      <c r="A11" s="116" t="s">
        <v>26</v>
      </c>
      <c r="B11" s="137">
        <f>'2009-2010'!AF8</f>
        <v>0</v>
      </c>
      <c r="C11" s="138">
        <f>'2009-2010'!N8</f>
        <v>0</v>
      </c>
      <c r="D11" s="139" t="str">
        <f t="shared" si="0"/>
        <v>--</v>
      </c>
      <c r="E11" s="137">
        <f>'2009-2010'!AH8</f>
        <v>0</v>
      </c>
      <c r="F11" s="138">
        <f>'2009-2010'!P8</f>
        <v>0</v>
      </c>
      <c r="G11" s="140" t="str">
        <f t="shared" si="1"/>
        <v>--</v>
      </c>
      <c r="H11" s="137">
        <f>'2009-2010'!AG8</f>
        <v>33</v>
      </c>
      <c r="I11" s="138">
        <f>'2009-2010'!O8</f>
        <v>4</v>
      </c>
      <c r="J11" s="140" t="str">
        <f t="shared" si="2"/>
        <v>725,0</v>
      </c>
      <c r="K11" s="137">
        <f>'2009-2010'!X8</f>
        <v>33</v>
      </c>
      <c r="L11" s="138">
        <f>'2009-2010'!F8</f>
        <v>17</v>
      </c>
      <c r="M11" s="140" t="str">
        <f t="shared" si="3"/>
        <v>94,1</v>
      </c>
    </row>
    <row r="12" spans="1:13" ht="11.25">
      <c r="A12" s="116" t="s">
        <v>28</v>
      </c>
      <c r="B12" s="137">
        <f>'2009-2010'!AF9</f>
        <v>0</v>
      </c>
      <c r="C12" s="138">
        <f>'2009-2010'!N9</f>
        <v>0</v>
      </c>
      <c r="D12" s="139" t="str">
        <f t="shared" si="0"/>
        <v>--</v>
      </c>
      <c r="E12" s="137">
        <f>'2009-2010'!AH9</f>
        <v>0</v>
      </c>
      <c r="F12" s="138">
        <f>'2009-2010'!P9</f>
        <v>0</v>
      </c>
      <c r="G12" s="140" t="str">
        <f t="shared" si="1"/>
        <v>--</v>
      </c>
      <c r="H12" s="137">
        <f>'2009-2010'!AG9</f>
        <v>0</v>
      </c>
      <c r="I12" s="138">
        <f>'2009-2010'!O9</f>
        <v>0</v>
      </c>
      <c r="J12" s="140" t="str">
        <f t="shared" si="2"/>
        <v>--</v>
      </c>
      <c r="K12" s="137">
        <f>'2009-2010'!X9</f>
        <v>15</v>
      </c>
      <c r="L12" s="138">
        <f>'2009-2010'!F9</f>
        <v>0</v>
      </c>
      <c r="M12" s="140" t="str">
        <f t="shared" si="3"/>
        <v>--</v>
      </c>
    </row>
    <row r="13" spans="1:13" ht="11.25">
      <c r="A13" s="116" t="s">
        <v>30</v>
      </c>
      <c r="B13" s="137">
        <f>'2009-2010'!AF10</f>
        <v>0</v>
      </c>
      <c r="C13" s="138">
        <f>'2009-2010'!N10</f>
        <v>0</v>
      </c>
      <c r="D13" s="139" t="str">
        <f t="shared" si="0"/>
        <v>--</v>
      </c>
      <c r="E13" s="137">
        <f>'2009-2010'!AH10</f>
        <v>0</v>
      </c>
      <c r="F13" s="138">
        <f>'2009-2010'!P10</f>
        <v>0</v>
      </c>
      <c r="G13" s="140" t="str">
        <f t="shared" si="1"/>
        <v>--</v>
      </c>
      <c r="H13" s="137">
        <f>'2009-2010'!AG10</f>
        <v>2</v>
      </c>
      <c r="I13" s="138">
        <f>'2009-2010'!O10</f>
        <v>1</v>
      </c>
      <c r="J13" s="140" t="str">
        <f t="shared" si="2"/>
        <v>100,0</v>
      </c>
      <c r="K13" s="137">
        <f>'2009-2010'!X10</f>
        <v>1</v>
      </c>
      <c r="L13" s="138">
        <f>'2009-2010'!F10</f>
        <v>3</v>
      </c>
      <c r="M13" s="140" t="str">
        <f t="shared" si="3"/>
        <v>-66,7</v>
      </c>
    </row>
    <row r="14" spans="1:13" ht="11.25">
      <c r="A14" s="116" t="s">
        <v>32</v>
      </c>
      <c r="B14" s="137">
        <f>'2009-2010'!AF11</f>
        <v>0</v>
      </c>
      <c r="C14" s="138">
        <f>'2009-2010'!N11</f>
        <v>0</v>
      </c>
      <c r="D14" s="139" t="str">
        <f t="shared" si="0"/>
        <v>--</v>
      </c>
      <c r="E14" s="137">
        <f>'2009-2010'!AH11</f>
        <v>0</v>
      </c>
      <c r="F14" s="138">
        <f>'2009-2010'!P11</f>
        <v>0</v>
      </c>
      <c r="G14" s="140" t="str">
        <f t="shared" si="1"/>
        <v>--</v>
      </c>
      <c r="H14" s="137">
        <f>'2009-2010'!AG11</f>
        <v>0</v>
      </c>
      <c r="I14" s="138">
        <f>'2009-2010'!O11</f>
        <v>11</v>
      </c>
      <c r="J14" s="140" t="str">
        <f t="shared" si="2"/>
        <v>-100,0</v>
      </c>
      <c r="K14" s="137">
        <f>'2009-2010'!X11</f>
        <v>0</v>
      </c>
      <c r="L14" s="138">
        <f>'2009-2010'!F11</f>
        <v>4</v>
      </c>
      <c r="M14" s="140" t="str">
        <f t="shared" si="3"/>
        <v>-100,0</v>
      </c>
    </row>
    <row r="15" spans="1:13" ht="11.25">
      <c r="A15" s="116" t="s">
        <v>34</v>
      </c>
      <c r="B15" s="137">
        <f>'2009-2010'!AF12</f>
        <v>0</v>
      </c>
      <c r="C15" s="138">
        <f>'2009-2010'!N12</f>
        <v>0</v>
      </c>
      <c r="D15" s="139" t="str">
        <f t="shared" si="0"/>
        <v>--</v>
      </c>
      <c r="E15" s="137">
        <f>'2009-2010'!AH12</f>
        <v>0</v>
      </c>
      <c r="F15" s="138">
        <f>'2009-2010'!P12</f>
        <v>0</v>
      </c>
      <c r="G15" s="140" t="str">
        <f t="shared" si="1"/>
        <v>--</v>
      </c>
      <c r="H15" s="137">
        <f>'2009-2010'!AG12</f>
        <v>30</v>
      </c>
      <c r="I15" s="138">
        <f>'2009-2010'!O12</f>
        <v>20</v>
      </c>
      <c r="J15" s="140" t="str">
        <f t="shared" si="2"/>
        <v>50,0</v>
      </c>
      <c r="K15" s="137">
        <f>'2009-2010'!X12</f>
        <v>3</v>
      </c>
      <c r="L15" s="138">
        <f>'2009-2010'!F12</f>
        <v>1</v>
      </c>
      <c r="M15" s="140" t="str">
        <f t="shared" si="3"/>
        <v>200,0</v>
      </c>
    </row>
    <row r="16" spans="1:13" ht="11.25">
      <c r="A16" s="116" t="s">
        <v>36</v>
      </c>
      <c r="B16" s="137">
        <f>'2009-2010'!AF13</f>
        <v>0</v>
      </c>
      <c r="C16" s="138">
        <f>'2009-2010'!N13</f>
        <v>0</v>
      </c>
      <c r="D16" s="139" t="str">
        <f t="shared" si="0"/>
        <v>--</v>
      </c>
      <c r="E16" s="137">
        <f>'2009-2010'!AH13</f>
        <v>0</v>
      </c>
      <c r="F16" s="138">
        <f>'2009-2010'!P13</f>
        <v>0</v>
      </c>
      <c r="G16" s="140" t="str">
        <f t="shared" si="1"/>
        <v>--</v>
      </c>
      <c r="H16" s="137">
        <f>'2009-2010'!AG13</f>
        <v>0</v>
      </c>
      <c r="I16" s="138">
        <f>'2009-2010'!O13</f>
        <v>5</v>
      </c>
      <c r="J16" s="140" t="str">
        <f t="shared" si="2"/>
        <v>-100,0</v>
      </c>
      <c r="K16" s="137">
        <f>'2009-2010'!X13</f>
        <v>1</v>
      </c>
      <c r="L16" s="138">
        <f>'2009-2010'!F13</f>
        <v>1</v>
      </c>
      <c r="M16" s="140" t="str">
        <f t="shared" si="3"/>
        <v>0,0</v>
      </c>
    </row>
    <row r="17" spans="1:13" ht="11.25">
      <c r="A17" s="120" t="s">
        <v>38</v>
      </c>
      <c r="B17" s="141">
        <f>'2009-2010'!AF14</f>
        <v>0</v>
      </c>
      <c r="C17" s="142">
        <f>'2009-2010'!N14</f>
        <v>2</v>
      </c>
      <c r="D17" s="143" t="str">
        <f t="shared" si="0"/>
        <v>-100,0</v>
      </c>
      <c r="E17" s="141">
        <f>'2009-2010'!AH14</f>
        <v>0</v>
      </c>
      <c r="F17" s="142">
        <f>'2009-2010'!P14</f>
        <v>0</v>
      </c>
      <c r="G17" s="144" t="str">
        <f t="shared" si="1"/>
        <v>--</v>
      </c>
      <c r="H17" s="141">
        <f>'2009-2010'!AG14</f>
        <v>7</v>
      </c>
      <c r="I17" s="142">
        <f>'2009-2010'!O14</f>
        <v>9</v>
      </c>
      <c r="J17" s="144" t="str">
        <f t="shared" si="2"/>
        <v>-22,2</v>
      </c>
      <c r="K17" s="141">
        <f>'2009-2010'!X14</f>
        <v>2</v>
      </c>
      <c r="L17" s="142">
        <f>'2009-2010'!F14</f>
        <v>10</v>
      </c>
      <c r="M17" s="144" t="str">
        <f t="shared" si="3"/>
        <v>-80,0</v>
      </c>
    </row>
    <row r="18" spans="1:13" ht="11.25">
      <c r="A18" s="116" t="s">
        <v>41</v>
      </c>
      <c r="B18" s="137">
        <f>'2009-2010'!AF27</f>
        <v>0</v>
      </c>
      <c r="C18" s="138">
        <f>'2009-2010'!N27</f>
        <v>0</v>
      </c>
      <c r="D18" s="139" t="str">
        <f t="shared" si="0"/>
        <v>--</v>
      </c>
      <c r="E18" s="137">
        <f>'2009-2010'!AH27</f>
        <v>0</v>
      </c>
      <c r="F18" s="138">
        <f>'2009-2010'!P27</f>
        <v>0</v>
      </c>
      <c r="G18" s="140" t="str">
        <f t="shared" si="1"/>
        <v>--</v>
      </c>
      <c r="H18" s="137">
        <f>'2009-2010'!AG27</f>
        <v>0</v>
      </c>
      <c r="I18" s="138">
        <f>'2009-2010'!O27</f>
        <v>0</v>
      </c>
      <c r="J18" s="140" t="str">
        <f t="shared" si="2"/>
        <v>--</v>
      </c>
      <c r="K18" s="137">
        <f>'2009-2010'!X27</f>
        <v>39</v>
      </c>
      <c r="L18" s="138">
        <f>'2009-2010'!F27</f>
        <v>111</v>
      </c>
      <c r="M18" s="140" t="str">
        <f t="shared" si="3"/>
        <v>-64,9</v>
      </c>
    </row>
    <row r="19" spans="1:13" ht="11.25">
      <c r="A19" s="116" t="s">
        <v>42</v>
      </c>
      <c r="B19" s="137">
        <f>'2009-2010'!AF15</f>
        <v>0</v>
      </c>
      <c r="C19" s="138">
        <f>'2009-2010'!N15</f>
        <v>0</v>
      </c>
      <c r="D19" s="139" t="str">
        <f t="shared" si="0"/>
        <v>--</v>
      </c>
      <c r="E19" s="137">
        <f>'2009-2010'!AH15</f>
        <v>0</v>
      </c>
      <c r="F19" s="138">
        <f>'2009-2010'!P15</f>
        <v>0</v>
      </c>
      <c r="G19" s="140" t="str">
        <f t="shared" si="1"/>
        <v>--</v>
      </c>
      <c r="H19" s="137">
        <f>'2009-2010'!AG15</f>
        <v>0</v>
      </c>
      <c r="I19" s="138">
        <f>'2009-2010'!O15</f>
        <v>0</v>
      </c>
      <c r="J19" s="140" t="str">
        <f t="shared" si="2"/>
        <v>--</v>
      </c>
      <c r="K19" s="137">
        <f>'2009-2010'!X15</f>
        <v>0</v>
      </c>
      <c r="L19" s="138">
        <f>'2009-2010'!F15</f>
        <v>3</v>
      </c>
      <c r="M19" s="140" t="str">
        <f t="shared" si="3"/>
        <v>-100,0</v>
      </c>
    </row>
    <row r="20" spans="1:13" ht="11.25">
      <c r="A20" s="116" t="s">
        <v>44</v>
      </c>
      <c r="B20" s="137">
        <f>'2009-2010'!AF16</f>
        <v>0</v>
      </c>
      <c r="C20" s="138">
        <f>'2009-2010'!N16</f>
        <v>0</v>
      </c>
      <c r="D20" s="139" t="str">
        <f t="shared" si="0"/>
        <v>--</v>
      </c>
      <c r="E20" s="137">
        <f>'2009-2010'!AH16</f>
        <v>0</v>
      </c>
      <c r="F20" s="138">
        <f>'2009-2010'!P16</f>
        <v>0</v>
      </c>
      <c r="G20" s="140" t="str">
        <f t="shared" si="1"/>
        <v>--</v>
      </c>
      <c r="H20" s="137">
        <f>'2009-2010'!AG16</f>
        <v>0</v>
      </c>
      <c r="I20" s="138">
        <f>'2009-2010'!O16</f>
        <v>0</v>
      </c>
      <c r="J20" s="140" t="str">
        <f t="shared" si="2"/>
        <v>--</v>
      </c>
      <c r="K20" s="137">
        <f>'2009-2010'!X16</f>
        <v>1</v>
      </c>
      <c r="L20" s="138">
        <f>'2009-2010'!F16</f>
        <v>1</v>
      </c>
      <c r="M20" s="140" t="str">
        <f t="shared" si="3"/>
        <v>0,0</v>
      </c>
    </row>
    <row r="21" spans="1:13" ht="11.25">
      <c r="A21" s="116" t="s">
        <v>46</v>
      </c>
      <c r="B21" s="137">
        <f>'2009-2010'!AF17</f>
        <v>0</v>
      </c>
      <c r="C21" s="138">
        <f>'2009-2010'!N17</f>
        <v>20</v>
      </c>
      <c r="D21" s="139" t="str">
        <f t="shared" si="0"/>
        <v>-100,0</v>
      </c>
      <c r="E21" s="137">
        <f>'2009-2010'!AH17</f>
        <v>0</v>
      </c>
      <c r="F21" s="138">
        <f>'2009-2010'!P17</f>
        <v>0</v>
      </c>
      <c r="G21" s="140" t="str">
        <f t="shared" si="1"/>
        <v>--</v>
      </c>
      <c r="H21" s="137">
        <f>'2009-2010'!AG17</f>
        <v>0</v>
      </c>
      <c r="I21" s="138">
        <f>'2009-2010'!O17</f>
        <v>4</v>
      </c>
      <c r="J21" s="140" t="str">
        <f t="shared" si="2"/>
        <v>-100,0</v>
      </c>
      <c r="K21" s="137">
        <f>'2009-2010'!X17</f>
        <v>34</v>
      </c>
      <c r="L21" s="138">
        <f>'2009-2010'!F17</f>
        <v>12</v>
      </c>
      <c r="M21" s="140" t="str">
        <f t="shared" si="3"/>
        <v>183,3</v>
      </c>
    </row>
    <row r="22" spans="1:13" ht="11.25">
      <c r="A22" s="116" t="s">
        <v>48</v>
      </c>
      <c r="B22" s="137">
        <f>'2009-2010'!AF18</f>
        <v>0</v>
      </c>
      <c r="C22" s="138">
        <f>'2009-2010'!N18</f>
        <v>0</v>
      </c>
      <c r="D22" s="139" t="str">
        <f t="shared" si="0"/>
        <v>--</v>
      </c>
      <c r="E22" s="137">
        <f>'2009-2010'!AH18</f>
        <v>0</v>
      </c>
      <c r="F22" s="138">
        <f>'2009-2010'!P18</f>
        <v>0</v>
      </c>
      <c r="G22" s="140" t="str">
        <f t="shared" si="1"/>
        <v>--</v>
      </c>
      <c r="H22" s="137">
        <f>'2009-2010'!AG18</f>
        <v>17</v>
      </c>
      <c r="I22" s="138">
        <f>'2009-2010'!O18</f>
        <v>9</v>
      </c>
      <c r="J22" s="140" t="str">
        <f t="shared" si="2"/>
        <v>88,9</v>
      </c>
      <c r="K22" s="137">
        <f>'2009-2010'!X18</f>
        <v>9</v>
      </c>
      <c r="L22" s="138">
        <f>'2009-2010'!F18</f>
        <v>6</v>
      </c>
      <c r="M22" s="140" t="str">
        <f t="shared" si="3"/>
        <v>50,0</v>
      </c>
    </row>
    <row r="23" spans="1:13" ht="11.25">
      <c r="A23" s="116" t="s">
        <v>50</v>
      </c>
      <c r="B23" s="137">
        <f>'2009-2010'!AF19</f>
        <v>0</v>
      </c>
      <c r="C23" s="138">
        <f>'2009-2010'!N19</f>
        <v>0</v>
      </c>
      <c r="D23" s="139" t="str">
        <f t="shared" si="0"/>
        <v>--</v>
      </c>
      <c r="E23" s="137">
        <f>'2009-2010'!AH19</f>
        <v>0</v>
      </c>
      <c r="F23" s="138">
        <f>'2009-2010'!P19</f>
        <v>0</v>
      </c>
      <c r="G23" s="140" t="str">
        <f t="shared" si="1"/>
        <v>--</v>
      </c>
      <c r="H23" s="137">
        <f>'2009-2010'!AG19</f>
        <v>8</v>
      </c>
      <c r="I23" s="138">
        <f>'2009-2010'!O19</f>
        <v>0</v>
      </c>
      <c r="J23" s="140" t="str">
        <f t="shared" si="2"/>
        <v>--</v>
      </c>
      <c r="K23" s="137">
        <f>'2009-2010'!X19</f>
        <v>0</v>
      </c>
      <c r="L23" s="138">
        <f>'2009-2010'!F19</f>
        <v>0</v>
      </c>
      <c r="M23" s="140" t="str">
        <f t="shared" si="3"/>
        <v>--</v>
      </c>
    </row>
    <row r="24" spans="1:13" ht="11.25">
      <c r="A24" s="116" t="s">
        <v>52</v>
      </c>
      <c r="B24" s="137">
        <f>'2009-2010'!AF20</f>
        <v>2</v>
      </c>
      <c r="C24" s="138">
        <f>'2009-2010'!N20</f>
        <v>0</v>
      </c>
      <c r="D24" s="139" t="str">
        <f t="shared" si="0"/>
        <v>--</v>
      </c>
      <c r="E24" s="137">
        <f>'2009-2010'!AH20</f>
        <v>0</v>
      </c>
      <c r="F24" s="138">
        <f>'2009-2010'!P20</f>
        <v>0</v>
      </c>
      <c r="G24" s="140" t="str">
        <f t="shared" si="1"/>
        <v>--</v>
      </c>
      <c r="H24" s="137">
        <f>'2009-2010'!AG20</f>
        <v>10</v>
      </c>
      <c r="I24" s="138">
        <f>'2009-2010'!O20</f>
        <v>0</v>
      </c>
      <c r="J24" s="140" t="str">
        <f t="shared" si="2"/>
        <v>--</v>
      </c>
      <c r="K24" s="137">
        <f>'2009-2010'!X20</f>
        <v>11</v>
      </c>
      <c r="L24" s="138">
        <f>'2009-2010'!F20</f>
        <v>22</v>
      </c>
      <c r="M24" s="140" t="str">
        <f t="shared" si="3"/>
        <v>-50,0</v>
      </c>
    </row>
    <row r="25" spans="1:13" ht="11.25">
      <c r="A25" s="116" t="s">
        <v>54</v>
      </c>
      <c r="B25" s="137">
        <f>'2009-2010'!AF21</f>
        <v>0</v>
      </c>
      <c r="C25" s="138">
        <f>'2009-2010'!N21</f>
        <v>0</v>
      </c>
      <c r="D25" s="139" t="str">
        <f t="shared" si="0"/>
        <v>--</v>
      </c>
      <c r="E25" s="137">
        <f>'2009-2010'!AH21</f>
        <v>0</v>
      </c>
      <c r="F25" s="138">
        <f>'2009-2010'!P21</f>
        <v>0</v>
      </c>
      <c r="G25" s="140" t="str">
        <f t="shared" si="1"/>
        <v>--</v>
      </c>
      <c r="H25" s="137">
        <f>'2009-2010'!AG21</f>
        <v>4</v>
      </c>
      <c r="I25" s="138">
        <f>'2009-2010'!O21</f>
        <v>6</v>
      </c>
      <c r="J25" s="140" t="str">
        <f t="shared" si="2"/>
        <v>-33,3</v>
      </c>
      <c r="K25" s="137">
        <f>'2009-2010'!X21</f>
        <v>1</v>
      </c>
      <c r="L25" s="138">
        <f>'2009-2010'!F21</f>
        <v>3</v>
      </c>
      <c r="M25" s="140" t="str">
        <f t="shared" si="3"/>
        <v>-66,7</v>
      </c>
    </row>
    <row r="26" spans="1:13" ht="11.25">
      <c r="A26" s="116" t="s">
        <v>56</v>
      </c>
      <c r="B26" s="137">
        <f>'2009-2010'!AF22</f>
        <v>0</v>
      </c>
      <c r="C26" s="138">
        <f>'2009-2010'!N22</f>
        <v>11</v>
      </c>
      <c r="D26" s="139" t="str">
        <f t="shared" si="0"/>
        <v>-100,0</v>
      </c>
      <c r="E26" s="137">
        <f>'2009-2010'!AH22</f>
        <v>0</v>
      </c>
      <c r="F26" s="138">
        <f>'2009-2010'!P22</f>
        <v>0</v>
      </c>
      <c r="G26" s="140" t="str">
        <f t="shared" si="1"/>
        <v>--</v>
      </c>
      <c r="H26" s="137">
        <f>'2009-2010'!AG22</f>
        <v>5</v>
      </c>
      <c r="I26" s="138">
        <f>'2009-2010'!O22</f>
        <v>0</v>
      </c>
      <c r="J26" s="140" t="str">
        <f t="shared" si="2"/>
        <v>--</v>
      </c>
      <c r="K26" s="137">
        <f>'2009-2010'!X22</f>
        <v>1</v>
      </c>
      <c r="L26" s="138">
        <f>'2009-2010'!F22</f>
        <v>3</v>
      </c>
      <c r="M26" s="140" t="str">
        <f t="shared" si="3"/>
        <v>-66,7</v>
      </c>
    </row>
    <row r="27" spans="1:13" ht="11.25">
      <c r="A27" s="116" t="s">
        <v>58</v>
      </c>
      <c r="B27" s="137">
        <f>'2009-2010'!AF23</f>
        <v>0</v>
      </c>
      <c r="C27" s="138">
        <f>'2009-2010'!N23</f>
        <v>0</v>
      </c>
      <c r="D27" s="139" t="str">
        <f t="shared" si="0"/>
        <v>--</v>
      </c>
      <c r="E27" s="137">
        <f>'2009-2010'!AH23</f>
        <v>0</v>
      </c>
      <c r="F27" s="138">
        <f>'2009-2010'!P23</f>
        <v>0</v>
      </c>
      <c r="G27" s="140" t="str">
        <f t="shared" si="1"/>
        <v>--</v>
      </c>
      <c r="H27" s="137">
        <f>'2009-2010'!AG23</f>
        <v>5</v>
      </c>
      <c r="I27" s="138">
        <f>'2009-2010'!O23</f>
        <v>4</v>
      </c>
      <c r="J27" s="140" t="str">
        <f t="shared" si="2"/>
        <v>25,0</v>
      </c>
      <c r="K27" s="137">
        <f>'2009-2010'!X23</f>
        <v>0</v>
      </c>
      <c r="L27" s="138">
        <f>'2009-2010'!F23</f>
        <v>1</v>
      </c>
      <c r="M27" s="140" t="str">
        <f t="shared" si="3"/>
        <v>-100,0</v>
      </c>
    </row>
    <row r="28" spans="1:13" ht="11.25">
      <c r="A28" s="120" t="s">
        <v>11</v>
      </c>
      <c r="B28" s="141">
        <f>'2009-2010'!AF24</f>
        <v>0</v>
      </c>
      <c r="C28" s="142">
        <f>'2009-2010'!N24</f>
        <v>0</v>
      </c>
      <c r="D28" s="143" t="str">
        <f>IF(C28&lt;&gt;0,TEXT(((B28-C28)/C28)*100,"0,0"),"--")</f>
        <v>--</v>
      </c>
      <c r="E28" s="141">
        <f>'2009-2010'!AH24</f>
        <v>0</v>
      </c>
      <c r="F28" s="142">
        <f>'2009-2010'!P24</f>
        <v>0</v>
      </c>
      <c r="G28" s="144" t="str">
        <f>IF(F28&lt;&gt;0,TEXT(((E28-F28)/F28)*100,"0,0"),"--")</f>
        <v>--</v>
      </c>
      <c r="H28" s="141">
        <f>'2009-2010'!AG24</f>
        <v>0</v>
      </c>
      <c r="I28" s="142">
        <f>'2009-2010'!O24</f>
        <v>0</v>
      </c>
      <c r="J28" s="144" t="str">
        <f>IF(I28&lt;&gt;0,TEXT(((H28-I28)/I28)*100,"0,0"),"--")</f>
        <v>--</v>
      </c>
      <c r="K28" s="141">
        <f>'2009-2010'!X24</f>
        <v>61</v>
      </c>
      <c r="L28" s="142">
        <f>'2009-2010'!F24</f>
        <v>43</v>
      </c>
      <c r="M28" s="144" t="str">
        <f>IF(L28&lt;&gt;0,TEXT(((K28-L28)/L28)*100,"0,0"),"--")</f>
        <v>41,9</v>
      </c>
    </row>
    <row r="29" spans="1:13" ht="11.25">
      <c r="A29" s="124" t="s">
        <v>12</v>
      </c>
      <c r="B29" s="145">
        <f>'2009-2010'!AF26</f>
        <v>0</v>
      </c>
      <c r="C29" s="146">
        <f>'2009-2010'!N26</f>
        <v>0</v>
      </c>
      <c r="D29" s="147" t="str">
        <f>IF(C29&lt;&gt;0,TEXT(((B29-C29)/C29)*100,"0,0"),"--")</f>
        <v>--</v>
      </c>
      <c r="E29" s="145">
        <f>'2009-2010'!AH26</f>
        <v>0</v>
      </c>
      <c r="F29" s="146">
        <f>'2009-2010'!P26</f>
        <v>0</v>
      </c>
      <c r="G29" s="148" t="str">
        <f>IF(F29&lt;&gt;0,TEXT(((E29-F29)/F29)*100,"0,0"),"--")</f>
        <v>--</v>
      </c>
      <c r="H29" s="145">
        <f>'2009-2010'!AG26</f>
        <v>0</v>
      </c>
      <c r="I29" s="146">
        <f>'2009-2010'!O26</f>
        <v>0</v>
      </c>
      <c r="J29" s="148" t="str">
        <f>IF(I29&lt;&gt;0,TEXT(((H29-I29)/I29)*100,"0,0"),"--")</f>
        <v>--</v>
      </c>
      <c r="K29" s="145">
        <f>'2009-2010'!X26</f>
        <v>50</v>
      </c>
      <c r="L29" s="146">
        <f>'2009-2010'!F26</f>
        <v>56</v>
      </c>
      <c r="M29" s="148" t="str">
        <f>IF(L29&lt;&gt;0,TEXT(((K29-L29)/L29)*100,"0,0"),"--")</f>
        <v>-10,7</v>
      </c>
    </row>
    <row r="30" spans="1:13" ht="11.25">
      <c r="A30" s="128" t="s">
        <v>13</v>
      </c>
      <c r="B30" s="149">
        <f>'2009-2010'!AF25</f>
        <v>0</v>
      </c>
      <c r="C30" s="150">
        <f>'2009-2010'!N25</f>
        <v>0</v>
      </c>
      <c r="D30" s="151" t="str">
        <f>IF(C30&lt;&gt;0,TEXT(((B30-C30)/C30)*100,"0,0"),"--")</f>
        <v>--</v>
      </c>
      <c r="E30" s="149">
        <f>'2009-2010'!AH25</f>
        <v>0</v>
      </c>
      <c r="F30" s="150">
        <f>'2009-2010'!P25</f>
        <v>0</v>
      </c>
      <c r="G30" s="152" t="str">
        <f>IF(F30&lt;&gt;0,TEXT(((E30-F30)/F30)*100,"0,0"),"--")</f>
        <v>--</v>
      </c>
      <c r="H30" s="149">
        <f>'2009-2010'!AG25</f>
        <v>0</v>
      </c>
      <c r="I30" s="150">
        <f>'2009-2010'!O25</f>
        <v>0</v>
      </c>
      <c r="J30" s="152" t="str">
        <f>IF(I30&lt;&gt;0,TEXT(((H30-I30)/I30)*100,"0,0"),"--")</f>
        <v>--</v>
      </c>
      <c r="K30" s="149">
        <f>'2009-2010'!X25</f>
        <v>85</v>
      </c>
      <c r="L30" s="150">
        <f>'2009-2010'!F25</f>
        <v>63</v>
      </c>
      <c r="M30" s="152" t="str">
        <f>IF(L30&lt;&gt;0,TEXT(((K30-L30)/L30)*100,"0,0"),"--")</f>
        <v>34,9</v>
      </c>
    </row>
    <row r="31" spans="1:13" ht="11.25">
      <c r="A31" s="116" t="s">
        <v>10</v>
      </c>
      <c r="B31" s="137">
        <f>SUM(B28:B30)</f>
        <v>0</v>
      </c>
      <c r="C31" s="138">
        <f>SUM(C28:C30)</f>
        <v>0</v>
      </c>
      <c r="D31" s="139" t="str">
        <f>IF(C31&lt;&gt;0,TEXT(((B31-C31)/C31)*100,"0,0"),"--")</f>
        <v>--</v>
      </c>
      <c r="E31" s="137">
        <f>SUM(E28:E30)</f>
        <v>0</v>
      </c>
      <c r="F31" s="138">
        <f>SUM(F28:F30)</f>
        <v>0</v>
      </c>
      <c r="G31" s="140" t="str">
        <f>IF(F31&lt;&gt;0,TEXT(((E31-F31)/F31)*100,"0,0"),"--")</f>
        <v>--</v>
      </c>
      <c r="H31" s="137">
        <f>SUM(H28:H30)</f>
        <v>0</v>
      </c>
      <c r="I31" s="138">
        <f>SUM(I28:I30)</f>
        <v>0</v>
      </c>
      <c r="J31" s="140" t="str">
        <f>IF(I31&lt;&gt;0,TEXT(((H31-I31)/I31)*100,"0,0"),"--")</f>
        <v>--</v>
      </c>
      <c r="K31" s="137">
        <f>SUM(K28:K30)</f>
        <v>196</v>
      </c>
      <c r="L31" s="138">
        <f>SUM(L28:L30)</f>
        <v>162</v>
      </c>
      <c r="M31" s="140" t="str">
        <f>IF(L31&lt;&gt;0,TEXT(((K31-L31)/L31)*100,"0,0"),"--")</f>
        <v>21,0</v>
      </c>
    </row>
    <row r="32" spans="1:13" ht="11.25" hidden="1">
      <c r="A32" s="132" t="s">
        <v>60</v>
      </c>
      <c r="B32" s="137">
        <v>0</v>
      </c>
      <c r="C32" s="153">
        <v>0</v>
      </c>
      <c r="D32" s="139" t="str">
        <f t="shared" si="0"/>
        <v>--</v>
      </c>
      <c r="E32" s="137">
        <v>0</v>
      </c>
      <c r="F32" s="138">
        <v>3</v>
      </c>
      <c r="G32" s="140" t="str">
        <f t="shared" si="1"/>
        <v>-100,0</v>
      </c>
      <c r="H32" s="137">
        <v>30</v>
      </c>
      <c r="I32" s="138">
        <v>8</v>
      </c>
      <c r="J32" s="140" t="str">
        <f t="shared" si="2"/>
        <v>275,0</v>
      </c>
      <c r="K32" s="137">
        <v>921</v>
      </c>
      <c r="L32" s="138">
        <v>1155</v>
      </c>
      <c r="M32" s="140" t="str">
        <f t="shared" si="3"/>
        <v>-20,3</v>
      </c>
    </row>
    <row r="33" spans="1:13" ht="11.25" hidden="1">
      <c r="A33" s="132" t="s">
        <v>106</v>
      </c>
      <c r="B33" s="137">
        <v>9</v>
      </c>
      <c r="C33" s="153">
        <v>7</v>
      </c>
      <c r="D33" s="139" t="str">
        <f t="shared" si="0"/>
        <v>28,6</v>
      </c>
      <c r="E33" s="137">
        <v>4</v>
      </c>
      <c r="F33" s="138">
        <v>66</v>
      </c>
      <c r="G33" s="140" t="str">
        <f t="shared" si="1"/>
        <v>-93,9</v>
      </c>
      <c r="H33" s="137">
        <v>341</v>
      </c>
      <c r="I33" s="138">
        <v>562</v>
      </c>
      <c r="J33" s="140" t="str">
        <f t="shared" si="2"/>
        <v>-39,3</v>
      </c>
      <c r="K33" s="137">
        <v>55</v>
      </c>
      <c r="L33" s="138">
        <v>26</v>
      </c>
      <c r="M33" s="140" t="str">
        <f t="shared" si="3"/>
        <v>111,5</v>
      </c>
    </row>
    <row r="34" spans="1:13" ht="11.25">
      <c r="A34" s="132" t="s">
        <v>107</v>
      </c>
      <c r="B34" s="137">
        <f>SUM(B6:B30)</f>
        <v>13</v>
      </c>
      <c r="C34" s="138">
        <f>SUM(C6:C30)</f>
        <v>39</v>
      </c>
      <c r="D34" s="139" t="str">
        <f t="shared" si="0"/>
        <v>-66,7</v>
      </c>
      <c r="E34" s="137">
        <f>SUM(E6:E30)</f>
        <v>0</v>
      </c>
      <c r="F34" s="138">
        <f>SUM(F6:F30)</f>
        <v>0</v>
      </c>
      <c r="G34" s="140" t="str">
        <f t="shared" si="1"/>
        <v>--</v>
      </c>
      <c r="H34" s="137">
        <f>SUM(H6:H30)</f>
        <v>156</v>
      </c>
      <c r="I34" s="138">
        <f>SUM(I6:I30)</f>
        <v>174</v>
      </c>
      <c r="J34" s="140" t="str">
        <f t="shared" si="2"/>
        <v>-10,3</v>
      </c>
      <c r="K34" s="137">
        <f>SUM(K6:K30)</f>
        <v>357</v>
      </c>
      <c r="L34" s="138">
        <f>SUM(L6:L30)</f>
        <v>393</v>
      </c>
      <c r="M34" s="140" t="str">
        <f t="shared" si="3"/>
        <v>-9,2</v>
      </c>
    </row>
    <row r="36" spans="1:13" ht="11.25">
      <c r="A36" s="110" t="s">
        <v>2</v>
      </c>
      <c r="B36" s="564" t="s">
        <v>117</v>
      </c>
      <c r="C36" s="564"/>
      <c r="D36" s="564"/>
      <c r="E36" s="564" t="s">
        <v>118</v>
      </c>
      <c r="F36" s="564"/>
      <c r="G36" s="564"/>
      <c r="H36" s="564" t="s">
        <v>119</v>
      </c>
      <c r="I36" s="564"/>
      <c r="J36" s="564"/>
      <c r="K36" s="564" t="s">
        <v>120</v>
      </c>
      <c r="L36" s="564"/>
      <c r="M36" s="564"/>
    </row>
    <row r="37" spans="1:13" ht="12">
      <c r="A37" s="111"/>
      <c r="B37" s="112">
        <f>B5</f>
        <v>2012</v>
      </c>
      <c r="C37" s="113">
        <f>C5</f>
        <v>2011</v>
      </c>
      <c r="D37" s="114" t="s">
        <v>9</v>
      </c>
      <c r="E37" s="112">
        <f>B37</f>
        <v>2012</v>
      </c>
      <c r="F37" s="115">
        <f>C37</f>
        <v>2011</v>
      </c>
      <c r="G37" s="114" t="s">
        <v>9</v>
      </c>
      <c r="H37" s="112">
        <f>B37</f>
        <v>2012</v>
      </c>
      <c r="I37" s="115">
        <f>C37</f>
        <v>2011</v>
      </c>
      <c r="J37" s="114" t="s">
        <v>9</v>
      </c>
      <c r="K37" s="112">
        <f>B37</f>
        <v>2012</v>
      </c>
      <c r="L37" s="115">
        <f>C37</f>
        <v>2011</v>
      </c>
      <c r="M37" s="114" t="s">
        <v>9</v>
      </c>
    </row>
    <row r="38" spans="1:13" ht="11.25">
      <c r="A38" s="116" t="s">
        <v>14</v>
      </c>
      <c r="B38" s="137">
        <f>'2009-2010'!Y3</f>
        <v>29753000</v>
      </c>
      <c r="C38" s="138">
        <f>'2009-2010'!G3</f>
        <v>37835000</v>
      </c>
      <c r="D38" s="154" t="str">
        <f aca="true" t="shared" si="4" ref="D38:D66">IF(C38&lt;&gt;0,TEXT(((B38-C38)/C38)*100,"0,0"),"--")</f>
        <v>-21,4</v>
      </c>
      <c r="E38" s="137">
        <f>'2009-2010'!Z3</f>
        <v>5</v>
      </c>
      <c r="F38" s="138">
        <f>'2009-2010'!H3</f>
        <v>5</v>
      </c>
      <c r="G38" s="154" t="str">
        <f aca="true" t="shared" si="5" ref="G38:G66">IF(F38&lt;&gt;0,TEXT(((E38-F38)/F38)*100,"0,0"),"--")</f>
        <v>0,0</v>
      </c>
      <c r="H38" s="137">
        <f>'2009-2010'!AA3</f>
        <v>0</v>
      </c>
      <c r="I38" s="138">
        <f>'2009-2010'!I3</f>
        <v>0</v>
      </c>
      <c r="J38" s="154" t="str">
        <f aca="true" t="shared" si="6" ref="J38:J66">IF(I38&lt;&gt;0,TEXT(((H38-I38)/I38)*100,"0,0"),"--")</f>
        <v>--</v>
      </c>
      <c r="K38" s="137">
        <f>'2009-2010'!AB3</f>
        <v>0</v>
      </c>
      <c r="L38" s="138">
        <f>'2009-2010'!J3</f>
        <v>0</v>
      </c>
      <c r="M38" s="154" t="str">
        <f aca="true" t="shared" si="7" ref="M38:M66">IF(L38&lt;&gt;0,TEXT(((K38-L38)/L38)*100,"0,0"),"--")</f>
        <v>--</v>
      </c>
    </row>
    <row r="39" spans="1:13" ht="11.25">
      <c r="A39" s="116" t="s">
        <v>17</v>
      </c>
      <c r="B39" s="137">
        <f>'2009-2010'!Y4</f>
        <v>9860000</v>
      </c>
      <c r="C39" s="138">
        <f>'2009-2010'!G4</f>
        <v>10780000</v>
      </c>
      <c r="D39" s="154" t="str">
        <f t="shared" si="4"/>
        <v>-8,5</v>
      </c>
      <c r="E39" s="137">
        <f>'2009-2010'!Z4</f>
        <v>0</v>
      </c>
      <c r="F39" s="138">
        <f>'2009-2010'!H4</f>
        <v>1</v>
      </c>
      <c r="G39" s="154" t="str">
        <f t="shared" si="5"/>
        <v>-100,0</v>
      </c>
      <c r="H39" s="137">
        <f>'2009-2010'!AA4</f>
        <v>0</v>
      </c>
      <c r="I39" s="138">
        <f>'2009-2010'!I4</f>
        <v>86</v>
      </c>
      <c r="J39" s="154" t="str">
        <f t="shared" si="6"/>
        <v>-100,0</v>
      </c>
      <c r="K39" s="137">
        <f>'2009-2010'!AB4</f>
        <v>0</v>
      </c>
      <c r="L39" s="138">
        <f>'2009-2010'!J4</f>
        <v>0</v>
      </c>
      <c r="M39" s="154" t="str">
        <f t="shared" si="7"/>
        <v>--</v>
      </c>
    </row>
    <row r="40" spans="1:13" ht="11.25">
      <c r="A40" s="116" t="s">
        <v>19</v>
      </c>
      <c r="B40" s="137">
        <f>'2009-2010'!Y5</f>
        <v>20360000</v>
      </c>
      <c r="C40" s="138">
        <f>'2009-2010'!G5</f>
        <v>12265000</v>
      </c>
      <c r="D40" s="154" t="str">
        <f t="shared" si="4"/>
        <v>66,0</v>
      </c>
      <c r="E40" s="137">
        <f>'2009-2010'!Z5</f>
        <v>2</v>
      </c>
      <c r="F40" s="138">
        <f>'2009-2010'!H5</f>
        <v>0</v>
      </c>
      <c r="G40" s="154" t="str">
        <f t="shared" si="5"/>
        <v>--</v>
      </c>
      <c r="H40" s="137">
        <f>'2009-2010'!AA5</f>
        <v>0</v>
      </c>
      <c r="I40" s="138">
        <f>'2009-2010'!I5</f>
        <v>0</v>
      </c>
      <c r="J40" s="154" t="str">
        <f t="shared" si="6"/>
        <v>--</v>
      </c>
      <c r="K40" s="137">
        <f>'2009-2010'!AB5</f>
        <v>0</v>
      </c>
      <c r="L40" s="138">
        <f>'2009-2010'!J5</f>
        <v>0</v>
      </c>
      <c r="M40" s="154" t="str">
        <f t="shared" si="7"/>
        <v>--</v>
      </c>
    </row>
    <row r="41" spans="1:13" ht="11.25">
      <c r="A41" s="116" t="s">
        <v>21</v>
      </c>
      <c r="B41" s="137">
        <f>'2009-2010'!Y6</f>
        <v>15920000</v>
      </c>
      <c r="C41" s="138">
        <f>'2009-2010'!G6</f>
        <v>33124000</v>
      </c>
      <c r="D41" s="154" t="str">
        <f t="shared" si="4"/>
        <v>-51,9</v>
      </c>
      <c r="E41" s="137">
        <f>'2009-2010'!Z6</f>
        <v>6</v>
      </c>
      <c r="F41" s="138">
        <f>'2009-2010'!H6</f>
        <v>6</v>
      </c>
      <c r="G41" s="154" t="str">
        <f t="shared" si="5"/>
        <v>0,0</v>
      </c>
      <c r="H41" s="137">
        <f>'2009-2010'!AA6</f>
        <v>4</v>
      </c>
      <c r="I41" s="138">
        <f>'2009-2010'!I6</f>
        <v>4</v>
      </c>
      <c r="J41" s="154" t="str">
        <f t="shared" si="6"/>
        <v>0,0</v>
      </c>
      <c r="K41" s="137">
        <f>'2009-2010'!AB6</f>
        <v>2</v>
      </c>
      <c r="L41" s="138">
        <f>'2009-2010'!J6</f>
        <v>15</v>
      </c>
      <c r="M41" s="154" t="str">
        <f t="shared" si="7"/>
        <v>-86,7</v>
      </c>
    </row>
    <row r="42" spans="1:13" ht="11.25">
      <c r="A42" s="116" t="s">
        <v>23</v>
      </c>
      <c r="B42" s="137">
        <f>'2009-2010'!Y7</f>
        <v>39750000</v>
      </c>
      <c r="C42" s="138">
        <f>'2009-2010'!G7</f>
        <v>47650000</v>
      </c>
      <c r="D42" s="154" t="str">
        <f t="shared" si="4"/>
        <v>-16,6</v>
      </c>
      <c r="E42" s="137">
        <f>'2009-2010'!Z7</f>
        <v>2</v>
      </c>
      <c r="F42" s="138">
        <f>'2009-2010'!H7</f>
        <v>3</v>
      </c>
      <c r="G42" s="154" t="str">
        <f t="shared" si="5"/>
        <v>-33,3</v>
      </c>
      <c r="H42" s="137">
        <f>'2009-2010'!AA7</f>
        <v>6</v>
      </c>
      <c r="I42" s="138">
        <f>'2009-2010'!I7</f>
        <v>2</v>
      </c>
      <c r="J42" s="154" t="str">
        <f t="shared" si="6"/>
        <v>200,0</v>
      </c>
      <c r="K42" s="137">
        <f>'2009-2010'!AB7</f>
        <v>0</v>
      </c>
      <c r="L42" s="138">
        <f>'2009-2010'!J7</f>
        <v>20</v>
      </c>
      <c r="M42" s="154" t="str">
        <f t="shared" si="7"/>
        <v>-100,0</v>
      </c>
    </row>
    <row r="43" spans="1:13" ht="11.25">
      <c r="A43" s="116" t="s">
        <v>26</v>
      </c>
      <c r="B43" s="137">
        <f>'2009-2010'!Y8</f>
        <v>36420000</v>
      </c>
      <c r="C43" s="138">
        <f>'2009-2010'!G8</f>
        <v>48961000</v>
      </c>
      <c r="D43" s="154" t="str">
        <f t="shared" si="4"/>
        <v>-25,6</v>
      </c>
      <c r="E43" s="137">
        <f>'2009-2010'!Z8</f>
        <v>6</v>
      </c>
      <c r="F43" s="138">
        <f>'2009-2010'!H8</f>
        <v>5</v>
      </c>
      <c r="G43" s="154" t="str">
        <f t="shared" si="5"/>
        <v>20,0</v>
      </c>
      <c r="H43" s="137">
        <f>'2009-2010'!AA8</f>
        <v>0</v>
      </c>
      <c r="I43" s="138">
        <f>'2009-2010'!I8</f>
        <v>0</v>
      </c>
      <c r="J43" s="154" t="str">
        <f t="shared" si="6"/>
        <v>--</v>
      </c>
      <c r="K43" s="137">
        <f>'2009-2010'!AB8</f>
        <v>1</v>
      </c>
      <c r="L43" s="138">
        <f>'2009-2010'!J8</f>
        <v>0</v>
      </c>
      <c r="M43" s="154" t="str">
        <f t="shared" si="7"/>
        <v>--</v>
      </c>
    </row>
    <row r="44" spans="1:13" ht="11.25">
      <c r="A44" s="116" t="s">
        <v>28</v>
      </c>
      <c r="B44" s="137">
        <f>'2009-2010'!Y9</f>
        <v>23710000</v>
      </c>
      <c r="C44" s="138">
        <f>'2009-2010'!G9</f>
        <v>18585000</v>
      </c>
      <c r="D44" s="154" t="str">
        <f t="shared" si="4"/>
        <v>27,6</v>
      </c>
      <c r="E44" s="137">
        <f>'2009-2010'!Z9</f>
        <v>4</v>
      </c>
      <c r="F44" s="138">
        <f>'2009-2010'!H9</f>
        <v>3</v>
      </c>
      <c r="G44" s="154" t="str">
        <f t="shared" si="5"/>
        <v>33,3</v>
      </c>
      <c r="H44" s="137">
        <f>'2009-2010'!AA9</f>
        <v>0</v>
      </c>
      <c r="I44" s="138">
        <f>'2009-2010'!I9</f>
        <v>0</v>
      </c>
      <c r="J44" s="154" t="str">
        <f t="shared" si="6"/>
        <v>--</v>
      </c>
      <c r="K44" s="137">
        <f>'2009-2010'!AB9</f>
        <v>0</v>
      </c>
      <c r="L44" s="138">
        <f>'2009-2010'!J9</f>
        <v>0</v>
      </c>
      <c r="M44" s="154" t="str">
        <f t="shared" si="7"/>
        <v>--</v>
      </c>
    </row>
    <row r="45" spans="1:13" ht="11.25">
      <c r="A45" s="116" t="s">
        <v>30</v>
      </c>
      <c r="B45" s="137">
        <f>'2009-2010'!Y10</f>
        <v>9220000</v>
      </c>
      <c r="C45" s="138">
        <f>'2009-2010'!G10</f>
        <v>4973300</v>
      </c>
      <c r="D45" s="154" t="str">
        <f t="shared" si="4"/>
        <v>85,4</v>
      </c>
      <c r="E45" s="137">
        <f>'2009-2010'!Z10</f>
        <v>0</v>
      </c>
      <c r="F45" s="138">
        <f>'2009-2010'!H10</f>
        <v>7</v>
      </c>
      <c r="G45" s="154" t="str">
        <f t="shared" si="5"/>
        <v>-100,0</v>
      </c>
      <c r="H45" s="137">
        <f>'2009-2010'!AA10</f>
        <v>1</v>
      </c>
      <c r="I45" s="138">
        <f>'2009-2010'!I10</f>
        <v>1</v>
      </c>
      <c r="J45" s="154" t="str">
        <f t="shared" si="6"/>
        <v>0,0</v>
      </c>
      <c r="K45" s="137">
        <f>'2009-2010'!AB10</f>
        <v>1</v>
      </c>
      <c r="L45" s="138">
        <f>'2009-2010'!J10</f>
        <v>1</v>
      </c>
      <c r="M45" s="154" t="str">
        <f t="shared" si="7"/>
        <v>0,0</v>
      </c>
    </row>
    <row r="46" spans="1:13" ht="11.25">
      <c r="A46" s="116" t="s">
        <v>32</v>
      </c>
      <c r="B46" s="137">
        <f>'2009-2010'!Y11</f>
        <v>5160000</v>
      </c>
      <c r="C46" s="138">
        <f>'2009-2010'!G11</f>
        <v>7877000</v>
      </c>
      <c r="D46" s="154" t="str">
        <f t="shared" si="4"/>
        <v>-34,5</v>
      </c>
      <c r="E46" s="137">
        <f>'2009-2010'!Z11</f>
        <v>0</v>
      </c>
      <c r="F46" s="138">
        <f>'2009-2010'!H11</f>
        <v>0</v>
      </c>
      <c r="G46" s="154" t="str">
        <f t="shared" si="5"/>
        <v>--</v>
      </c>
      <c r="H46" s="137">
        <f>'2009-2010'!AA11</f>
        <v>0</v>
      </c>
      <c r="I46" s="138">
        <f>'2009-2010'!I11</f>
        <v>0</v>
      </c>
      <c r="J46" s="154" t="str">
        <f t="shared" si="6"/>
        <v>--</v>
      </c>
      <c r="K46" s="137">
        <f>'2009-2010'!AB11</f>
        <v>1500</v>
      </c>
      <c r="L46" s="138">
        <f>'2009-2010'!J11</f>
        <v>0</v>
      </c>
      <c r="M46" s="154" t="str">
        <f t="shared" si="7"/>
        <v>--</v>
      </c>
    </row>
    <row r="47" spans="1:13" ht="11.25">
      <c r="A47" s="116" t="s">
        <v>34</v>
      </c>
      <c r="B47" s="137">
        <f>'2009-2010'!Y12</f>
        <v>27770000</v>
      </c>
      <c r="C47" s="138">
        <f>'2009-2010'!G12</f>
        <v>20530000</v>
      </c>
      <c r="D47" s="154" t="str">
        <f t="shared" si="4"/>
        <v>35,3</v>
      </c>
      <c r="E47" s="137">
        <f>'2009-2010'!Z12</f>
        <v>0</v>
      </c>
      <c r="F47" s="138">
        <f>'2009-2010'!H12</f>
        <v>1</v>
      </c>
      <c r="G47" s="154" t="str">
        <f t="shared" si="5"/>
        <v>-100,0</v>
      </c>
      <c r="H47" s="137">
        <f>'2009-2010'!AA12</f>
        <v>0</v>
      </c>
      <c r="I47" s="138">
        <f>'2009-2010'!I12</f>
        <v>0</v>
      </c>
      <c r="J47" s="154" t="str">
        <f t="shared" si="6"/>
        <v>--</v>
      </c>
      <c r="K47" s="137">
        <f>'2009-2010'!AB12</f>
        <v>0</v>
      </c>
      <c r="L47" s="138">
        <f>'2009-2010'!J12</f>
        <v>0</v>
      </c>
      <c r="M47" s="154" t="str">
        <f t="shared" si="7"/>
        <v>--</v>
      </c>
    </row>
    <row r="48" spans="1:13" ht="11.25">
      <c r="A48" s="116" t="s">
        <v>36</v>
      </c>
      <c r="B48" s="137">
        <f>'2009-2010'!Y13</f>
        <v>9030000</v>
      </c>
      <c r="C48" s="138">
        <f>'2009-2010'!G13</f>
        <v>10120000</v>
      </c>
      <c r="D48" s="154" t="str">
        <f t="shared" si="4"/>
        <v>-10,8</v>
      </c>
      <c r="E48" s="137">
        <f>'2009-2010'!Z13</f>
        <v>2</v>
      </c>
      <c r="F48" s="138">
        <f>'2009-2010'!H13</f>
        <v>1</v>
      </c>
      <c r="G48" s="154" t="str">
        <f t="shared" si="5"/>
        <v>100,0</v>
      </c>
      <c r="H48" s="137">
        <f>'2009-2010'!AA13</f>
        <v>0</v>
      </c>
      <c r="I48" s="138">
        <f>'2009-2010'!I13</f>
        <v>1</v>
      </c>
      <c r="J48" s="154" t="str">
        <f t="shared" si="6"/>
        <v>-100,0</v>
      </c>
      <c r="K48" s="137">
        <f>'2009-2010'!AB13</f>
        <v>0</v>
      </c>
      <c r="L48" s="138">
        <f>'2009-2010'!J13</f>
        <v>1</v>
      </c>
      <c r="M48" s="154" t="str">
        <f t="shared" si="7"/>
        <v>-100,0</v>
      </c>
    </row>
    <row r="49" spans="1:13" ht="11.25">
      <c r="A49" s="120" t="s">
        <v>38</v>
      </c>
      <c r="B49" s="141">
        <f>'2009-2010'!Y14</f>
        <v>18280000</v>
      </c>
      <c r="C49" s="142">
        <f>'2009-2010'!G14</f>
        <v>15000000</v>
      </c>
      <c r="D49" s="155" t="str">
        <f t="shared" si="4"/>
        <v>21,9</v>
      </c>
      <c r="E49" s="141">
        <f>'2009-2010'!Z14</f>
        <v>2</v>
      </c>
      <c r="F49" s="142">
        <f>'2009-2010'!H14</f>
        <v>1</v>
      </c>
      <c r="G49" s="155" t="str">
        <f t="shared" si="5"/>
        <v>100,0</v>
      </c>
      <c r="H49" s="141">
        <f>'2009-2010'!AA14</f>
        <v>0</v>
      </c>
      <c r="I49" s="142">
        <f>'2009-2010'!I14</f>
        <v>5</v>
      </c>
      <c r="J49" s="155" t="str">
        <f t="shared" si="6"/>
        <v>-100,0</v>
      </c>
      <c r="K49" s="141">
        <f>'2009-2010'!AB14</f>
        <v>5</v>
      </c>
      <c r="L49" s="142">
        <f>'2009-2010'!J14</f>
        <v>0</v>
      </c>
      <c r="M49" s="155" t="str">
        <f t="shared" si="7"/>
        <v>--</v>
      </c>
    </row>
    <row r="50" spans="1:13" ht="11.25">
      <c r="A50" s="116" t="s">
        <v>41</v>
      </c>
      <c r="B50" s="137">
        <f>'2009-2010'!Y27</f>
        <v>18797000</v>
      </c>
      <c r="C50" s="138">
        <f>'2009-2010'!G27</f>
        <v>11345000</v>
      </c>
      <c r="D50" s="154" t="str">
        <f t="shared" si="4"/>
        <v>65,7</v>
      </c>
      <c r="E50" s="137">
        <f>'2009-2010'!Z27</f>
        <v>10</v>
      </c>
      <c r="F50" s="138">
        <f>'2009-2010'!H27</f>
        <v>14</v>
      </c>
      <c r="G50" s="154" t="str">
        <f t="shared" si="5"/>
        <v>-28,6</v>
      </c>
      <c r="H50" s="137">
        <f>'2009-2010'!AA27</f>
        <v>0</v>
      </c>
      <c r="I50" s="138">
        <f>'2009-2010'!I27</f>
        <v>0</v>
      </c>
      <c r="J50" s="154" t="str">
        <f t="shared" si="6"/>
        <v>--</v>
      </c>
      <c r="K50" s="137">
        <f>'2009-2010'!AB27</f>
        <v>0</v>
      </c>
      <c r="L50" s="138">
        <f>'2009-2010'!J27</f>
        <v>0</v>
      </c>
      <c r="M50" s="154" t="str">
        <f t="shared" si="7"/>
        <v>--</v>
      </c>
    </row>
    <row r="51" spans="1:13" ht="11.25">
      <c r="A51" s="116" t="s">
        <v>42</v>
      </c>
      <c r="B51" s="137">
        <f>'2009-2010'!Y15</f>
        <v>7250000</v>
      </c>
      <c r="C51" s="138">
        <f>'2009-2010'!G15</f>
        <v>5175000</v>
      </c>
      <c r="D51" s="154" t="str">
        <f t="shared" si="4"/>
        <v>40,1</v>
      </c>
      <c r="E51" s="137">
        <f>'2009-2010'!Z15</f>
        <v>2</v>
      </c>
      <c r="F51" s="138">
        <f>'2009-2010'!H15</f>
        <v>1</v>
      </c>
      <c r="G51" s="154" t="str">
        <f t="shared" si="5"/>
        <v>100,0</v>
      </c>
      <c r="H51" s="137">
        <f>'2009-2010'!AA15</f>
        <v>2</v>
      </c>
      <c r="I51" s="138">
        <f>'2009-2010'!I15</f>
        <v>0</v>
      </c>
      <c r="J51" s="154" t="str">
        <f t="shared" si="6"/>
        <v>--</v>
      </c>
      <c r="K51" s="137">
        <f>'2009-2010'!AB15</f>
        <v>2</v>
      </c>
      <c r="L51" s="138">
        <f>'2009-2010'!J15</f>
        <v>3</v>
      </c>
      <c r="M51" s="154" t="str">
        <f t="shared" si="7"/>
        <v>-33,3</v>
      </c>
    </row>
    <row r="52" spans="1:13" ht="11.25">
      <c r="A52" s="116" t="s">
        <v>44</v>
      </c>
      <c r="B52" s="137">
        <f>'2009-2010'!Y16</f>
        <v>7255000</v>
      </c>
      <c r="C52" s="138">
        <f>'2009-2010'!G16</f>
        <v>10100000</v>
      </c>
      <c r="D52" s="154" t="str">
        <f t="shared" si="4"/>
        <v>-28,2</v>
      </c>
      <c r="E52" s="137">
        <f>'2009-2010'!Z16</f>
        <v>1</v>
      </c>
      <c r="F52" s="138">
        <f>'2009-2010'!H16</f>
        <v>2</v>
      </c>
      <c r="G52" s="154" t="str">
        <f t="shared" si="5"/>
        <v>-50,0</v>
      </c>
      <c r="H52" s="137">
        <f>'2009-2010'!AA16</f>
        <v>0</v>
      </c>
      <c r="I52" s="138">
        <f>'2009-2010'!I16</f>
        <v>4</v>
      </c>
      <c r="J52" s="154" t="str">
        <f t="shared" si="6"/>
        <v>-100,0</v>
      </c>
      <c r="K52" s="137">
        <f>'2009-2010'!AB16</f>
        <v>0</v>
      </c>
      <c r="L52" s="138">
        <f>'2009-2010'!J16</f>
        <v>12</v>
      </c>
      <c r="M52" s="154" t="str">
        <f t="shared" si="7"/>
        <v>-100,0</v>
      </c>
    </row>
    <row r="53" spans="1:13" s="628" customFormat="1" ht="11.25">
      <c r="A53" s="616" t="s">
        <v>46</v>
      </c>
      <c r="B53" s="625">
        <f>'2009-2010'!Y17</f>
        <v>14760000</v>
      </c>
      <c r="C53" s="626">
        <f>'2009-2010'!G17</f>
        <v>13850000</v>
      </c>
      <c r="D53" s="627" t="str">
        <f t="shared" si="4"/>
        <v>6,6</v>
      </c>
      <c r="E53" s="625">
        <f>'2009-2010'!Z17</f>
        <v>14</v>
      </c>
      <c r="F53" s="626">
        <f>'2009-2010'!H17</f>
        <v>4</v>
      </c>
      <c r="G53" s="627" t="str">
        <f t="shared" si="5"/>
        <v>250,0</v>
      </c>
      <c r="H53" s="625">
        <f>'2009-2010'!AA17</f>
        <v>11</v>
      </c>
      <c r="I53" s="626">
        <f>'2009-2010'!I17</f>
        <v>0</v>
      </c>
      <c r="J53" s="627" t="str">
        <f t="shared" si="6"/>
        <v>--</v>
      </c>
      <c r="K53" s="625">
        <f>'2009-2010'!AB17</f>
        <v>0</v>
      </c>
      <c r="L53" s="626">
        <f>'2009-2010'!J17</f>
        <v>14</v>
      </c>
      <c r="M53" s="627" t="str">
        <f t="shared" si="7"/>
        <v>-100,0</v>
      </c>
    </row>
    <row r="54" spans="1:13" ht="11.25">
      <c r="A54" s="116" t="s">
        <v>48</v>
      </c>
      <c r="B54" s="137">
        <f>'2009-2010'!Y18</f>
        <v>33333000</v>
      </c>
      <c r="C54" s="138">
        <f>'2009-2010'!G18</f>
        <v>33955000</v>
      </c>
      <c r="D54" s="154" t="str">
        <f t="shared" si="4"/>
        <v>-1,8</v>
      </c>
      <c r="E54" s="137">
        <f>'2009-2010'!Z18</f>
        <v>13</v>
      </c>
      <c r="F54" s="138">
        <f>'2009-2010'!H18</f>
        <v>13</v>
      </c>
      <c r="G54" s="154" t="str">
        <f t="shared" si="5"/>
        <v>0,0</v>
      </c>
      <c r="H54" s="137">
        <f>'2009-2010'!AA18</f>
        <v>2</v>
      </c>
      <c r="I54" s="138">
        <f>'2009-2010'!I18</f>
        <v>1</v>
      </c>
      <c r="J54" s="154" t="str">
        <f t="shared" si="6"/>
        <v>100,0</v>
      </c>
      <c r="K54" s="137">
        <f>'2009-2010'!AB18</f>
        <v>0</v>
      </c>
      <c r="L54" s="138">
        <f>'2009-2010'!J18</f>
        <v>1</v>
      </c>
      <c r="M54" s="154" t="str">
        <f t="shared" si="7"/>
        <v>-100,0</v>
      </c>
    </row>
    <row r="55" spans="1:13" ht="11.25">
      <c r="A55" s="116" t="s">
        <v>50</v>
      </c>
      <c r="B55" s="137">
        <f>'2009-2010'!Y19</f>
        <v>6520000</v>
      </c>
      <c r="C55" s="138">
        <f>'2009-2010'!G19</f>
        <v>4200000</v>
      </c>
      <c r="D55" s="154" t="str">
        <f t="shared" si="4"/>
        <v>55,2</v>
      </c>
      <c r="E55" s="137">
        <f>'2009-2010'!Z19</f>
        <v>1</v>
      </c>
      <c r="F55" s="138">
        <f>'2009-2010'!H19</f>
        <v>0</v>
      </c>
      <c r="G55" s="154" t="str">
        <f t="shared" si="5"/>
        <v>--</v>
      </c>
      <c r="H55" s="137">
        <f>'2009-2010'!AA19</f>
        <v>0</v>
      </c>
      <c r="I55" s="138">
        <f>'2009-2010'!I19</f>
        <v>0</v>
      </c>
      <c r="J55" s="154" t="str">
        <f t="shared" si="6"/>
        <v>--</v>
      </c>
      <c r="K55" s="137">
        <f>'2009-2010'!AB19</f>
        <v>0</v>
      </c>
      <c r="L55" s="138">
        <f>'2009-2010'!J19</f>
        <v>0</v>
      </c>
      <c r="M55" s="154" t="str">
        <f t="shared" si="7"/>
        <v>--</v>
      </c>
    </row>
    <row r="56" spans="1:13" ht="11.25">
      <c r="A56" s="116" t="s">
        <v>52</v>
      </c>
      <c r="B56" s="137">
        <f>'2009-2010'!Y20</f>
        <v>21775000</v>
      </c>
      <c r="C56" s="138">
        <f>'2009-2010'!G20</f>
        <v>26155000</v>
      </c>
      <c r="D56" s="154" t="str">
        <f t="shared" si="4"/>
        <v>-16,7</v>
      </c>
      <c r="E56" s="137">
        <f>'2009-2010'!Z20</f>
        <v>3</v>
      </c>
      <c r="F56" s="138">
        <f>'2009-2010'!H20</f>
        <v>0</v>
      </c>
      <c r="G56" s="154" t="str">
        <f t="shared" si="5"/>
        <v>--</v>
      </c>
      <c r="H56" s="137">
        <f>'2009-2010'!AA20</f>
        <v>0</v>
      </c>
      <c r="I56" s="138">
        <f>'2009-2010'!I20</f>
        <v>0</v>
      </c>
      <c r="J56" s="154" t="str">
        <f t="shared" si="6"/>
        <v>--</v>
      </c>
      <c r="K56" s="137">
        <f>'2009-2010'!AB20</f>
        <v>0</v>
      </c>
      <c r="L56" s="138">
        <f>'2009-2010'!J20</f>
        <v>0</v>
      </c>
      <c r="M56" s="154" t="str">
        <f t="shared" si="7"/>
        <v>--</v>
      </c>
    </row>
    <row r="57" spans="1:13" ht="11.25">
      <c r="A57" s="116" t="s">
        <v>54</v>
      </c>
      <c r="B57" s="137">
        <f>'2009-2010'!Y21</f>
        <v>10701000</v>
      </c>
      <c r="C57" s="138">
        <f>'2009-2010'!G21</f>
        <v>11005000</v>
      </c>
      <c r="D57" s="154" t="str">
        <f t="shared" si="4"/>
        <v>-2,8</v>
      </c>
      <c r="E57" s="137">
        <f>'2009-2010'!Z21</f>
        <v>1</v>
      </c>
      <c r="F57" s="138">
        <f>'2009-2010'!H21</f>
        <v>3</v>
      </c>
      <c r="G57" s="154" t="str">
        <f t="shared" si="5"/>
        <v>-66,7</v>
      </c>
      <c r="H57" s="137">
        <f>'2009-2010'!AA21</f>
        <v>0</v>
      </c>
      <c r="I57" s="138">
        <f>'2009-2010'!I21</f>
        <v>4</v>
      </c>
      <c r="J57" s="154" t="str">
        <f t="shared" si="6"/>
        <v>-100,0</v>
      </c>
      <c r="K57" s="137">
        <f>'2009-2010'!AB21</f>
        <v>0</v>
      </c>
      <c r="L57" s="138">
        <f>'2009-2010'!J21</f>
        <v>15</v>
      </c>
      <c r="M57" s="154" t="str">
        <f t="shared" si="7"/>
        <v>-100,0</v>
      </c>
    </row>
    <row r="58" spans="1:13" ht="11.25">
      <c r="A58" s="116" t="s">
        <v>56</v>
      </c>
      <c r="B58" s="137">
        <f>'2009-2010'!Y22</f>
        <v>13763000</v>
      </c>
      <c r="C58" s="138">
        <f>'2009-2010'!G22</f>
        <v>7000000</v>
      </c>
      <c r="D58" s="154" t="str">
        <f t="shared" si="4"/>
        <v>96,6</v>
      </c>
      <c r="E58" s="137">
        <f>'2009-2010'!Z22</f>
        <v>1</v>
      </c>
      <c r="F58" s="138">
        <f>'2009-2010'!H22</f>
        <v>0</v>
      </c>
      <c r="G58" s="154" t="str">
        <f t="shared" si="5"/>
        <v>--</v>
      </c>
      <c r="H58" s="137">
        <f>'2009-2010'!AA22</f>
        <v>1</v>
      </c>
      <c r="I58" s="138">
        <f>'2009-2010'!I22</f>
        <v>4</v>
      </c>
      <c r="J58" s="154" t="str">
        <f t="shared" si="6"/>
        <v>-75,0</v>
      </c>
      <c r="K58" s="137">
        <f>'2009-2010'!AB22</f>
        <v>3</v>
      </c>
      <c r="L58" s="138">
        <f>'2009-2010'!J22</f>
        <v>0</v>
      </c>
      <c r="M58" s="154" t="str">
        <f t="shared" si="7"/>
        <v>--</v>
      </c>
    </row>
    <row r="59" spans="1:13" ht="11.25">
      <c r="A59" s="116" t="s">
        <v>58</v>
      </c>
      <c r="B59" s="137">
        <f>'2009-2010'!Y23</f>
        <v>11600000</v>
      </c>
      <c r="C59" s="138">
        <f>'2009-2010'!G23</f>
        <v>5690000</v>
      </c>
      <c r="D59" s="154" t="str">
        <f t="shared" si="4"/>
        <v>103,9</v>
      </c>
      <c r="E59" s="137">
        <f>'2009-2010'!Z23</f>
        <v>0</v>
      </c>
      <c r="F59" s="138">
        <f>'2009-2010'!H23</f>
        <v>4</v>
      </c>
      <c r="G59" s="154" t="str">
        <f t="shared" si="5"/>
        <v>-100,0</v>
      </c>
      <c r="H59" s="137">
        <f>'2009-2010'!AA23</f>
        <v>0</v>
      </c>
      <c r="I59" s="138">
        <f>'2009-2010'!I23</f>
        <v>0</v>
      </c>
      <c r="J59" s="154" t="str">
        <f t="shared" si="6"/>
        <v>--</v>
      </c>
      <c r="K59" s="137">
        <f>'2009-2010'!AB23</f>
        <v>0</v>
      </c>
      <c r="L59" s="138">
        <f>'2009-2010'!J23</f>
        <v>0</v>
      </c>
      <c r="M59" s="154" t="str">
        <f t="shared" si="7"/>
        <v>--</v>
      </c>
    </row>
    <row r="60" spans="1:13" ht="11.25">
      <c r="A60" s="120" t="s">
        <v>11</v>
      </c>
      <c r="B60" s="141">
        <f>'2009-2010'!Y24</f>
        <v>41791000</v>
      </c>
      <c r="C60" s="142">
        <f>'2009-2010'!G24</f>
        <v>41325000</v>
      </c>
      <c r="D60" s="155" t="str">
        <f>IF(C60&lt;&gt;0,TEXT(((B60-C60)/C60)*100,"0,0"),"--")</f>
        <v>1,1</v>
      </c>
      <c r="E60" s="141">
        <f>'2009-2010'!Z24</f>
        <v>13</v>
      </c>
      <c r="F60" s="142">
        <f>'2009-2010'!H24</f>
        <v>20</v>
      </c>
      <c r="G60" s="155" t="str">
        <f>IF(F60&lt;&gt;0,TEXT(((E60-F60)/F60)*100,"0,0"),"--")</f>
        <v>-35,0</v>
      </c>
      <c r="H60" s="141">
        <f>'2009-2010'!AA24</f>
        <v>0</v>
      </c>
      <c r="I60" s="142">
        <f>'2009-2010'!I24</f>
        <v>0</v>
      </c>
      <c r="J60" s="155" t="str">
        <f>IF(I60&lt;&gt;0,TEXT(((H60-I60)/I60)*100,"0,0"),"--")</f>
        <v>--</v>
      </c>
      <c r="K60" s="141">
        <f>'2009-2010'!AB24</f>
        <v>0</v>
      </c>
      <c r="L60" s="142">
        <f>'2009-2010'!J24</f>
        <v>0</v>
      </c>
      <c r="M60" s="155" t="str">
        <f>IF(L60&lt;&gt;0,TEXT(((K60-L60)/L60)*100,"0,0"),"--")</f>
        <v>--</v>
      </c>
    </row>
    <row r="61" spans="1:13" ht="11.25">
      <c r="A61" s="124" t="s">
        <v>12</v>
      </c>
      <c r="B61" s="145">
        <f>'2009-2010'!Y26</f>
        <v>80475000</v>
      </c>
      <c r="C61" s="146">
        <f>'2009-2010'!G26</f>
        <v>43820000</v>
      </c>
      <c r="D61" s="156" t="str">
        <f>IF(C61&lt;&gt;0,TEXT(((B61-C61)/C61)*100,"0,0"),"--")</f>
        <v>83,6</v>
      </c>
      <c r="E61" s="145">
        <f>'2009-2010'!Z26</f>
        <v>16</v>
      </c>
      <c r="F61" s="146">
        <f>'2009-2010'!H26</f>
        <v>32</v>
      </c>
      <c r="G61" s="156" t="str">
        <f>IF(F61&lt;&gt;0,TEXT(((E61-F61)/F61)*100,"0,0"),"--")</f>
        <v>-50,0</v>
      </c>
      <c r="H61" s="145">
        <f>'2009-2010'!AA26</f>
        <v>0</v>
      </c>
      <c r="I61" s="146">
        <f>'2009-2010'!I26</f>
        <v>0</v>
      </c>
      <c r="J61" s="156" t="str">
        <f>IF(I61&lt;&gt;0,TEXT(((H61-I61)/I61)*100,"0,0"),"--")</f>
        <v>--</v>
      </c>
      <c r="K61" s="145">
        <f>'2009-2010'!AB26</f>
        <v>0</v>
      </c>
      <c r="L61" s="146">
        <f>'2009-2010'!J26</f>
        <v>0</v>
      </c>
      <c r="M61" s="156" t="str">
        <f>IF(L61&lt;&gt;0,TEXT(((K61-L61)/L61)*100,"0,0"),"--")</f>
        <v>--</v>
      </c>
    </row>
    <row r="62" spans="1:13" ht="11.25">
      <c r="A62" s="128" t="s">
        <v>13</v>
      </c>
      <c r="B62" s="149">
        <f>'2009-2010'!Y25</f>
        <v>72431000</v>
      </c>
      <c r="C62" s="150">
        <f>'2009-2010'!G25</f>
        <v>44415000</v>
      </c>
      <c r="D62" s="157" t="str">
        <f>IF(C62&lt;&gt;0,TEXT(((B62-C62)/C62)*100,"0,0"),"--")</f>
        <v>63,1</v>
      </c>
      <c r="E62" s="149">
        <f>'2009-2010'!Z25</f>
        <v>15</v>
      </c>
      <c r="F62" s="150">
        <f>'2009-2010'!H25</f>
        <v>13</v>
      </c>
      <c r="G62" s="157" t="str">
        <f>IF(F62&lt;&gt;0,TEXT(((E62-F62)/F62)*100,"0,0"),"--")</f>
        <v>15,4</v>
      </c>
      <c r="H62" s="149">
        <f>'2009-2010'!AA25</f>
        <v>0</v>
      </c>
      <c r="I62" s="150">
        <f>'2009-2010'!I25</f>
        <v>0</v>
      </c>
      <c r="J62" s="157" t="str">
        <f>IF(I62&lt;&gt;0,TEXT(((H62-I62)/I62)*100,"0,0"),"--")</f>
        <v>--</v>
      </c>
      <c r="K62" s="149">
        <f>'2009-2010'!AB25</f>
        <v>0</v>
      </c>
      <c r="L62" s="150">
        <f>'2009-2010'!J25</f>
        <v>0</v>
      </c>
      <c r="M62" s="157" t="str">
        <f>IF(L62&lt;&gt;0,TEXT(((K62-L62)/L62)*100,"0,0"),"--")</f>
        <v>--</v>
      </c>
    </row>
    <row r="63" spans="1:13" ht="11.25">
      <c r="A63" s="116" t="s">
        <v>10</v>
      </c>
      <c r="B63" s="137">
        <f>SUM(B60:B62)</f>
        <v>194697000</v>
      </c>
      <c r="C63" s="138">
        <f>SUM(C60:C62)</f>
        <v>129560000</v>
      </c>
      <c r="D63" s="154" t="str">
        <f>IF(C63&lt;&gt;0,TEXT(((B63-C63)/C63)*100,"0,0"),"--")</f>
        <v>50,3</v>
      </c>
      <c r="E63" s="137">
        <f>SUM(E60:E62)</f>
        <v>44</v>
      </c>
      <c r="F63" s="138">
        <f>SUM(F60:F62)</f>
        <v>65</v>
      </c>
      <c r="G63" s="154" t="str">
        <f>IF(F63&lt;&gt;0,TEXT(((E63-F63)/F63)*100,"0,0"),"--")</f>
        <v>-32,3</v>
      </c>
      <c r="H63" s="137">
        <f>SUM(H60:H62)</f>
        <v>0</v>
      </c>
      <c r="I63" s="138">
        <f>SUM(I60:I62)</f>
        <v>0</v>
      </c>
      <c r="J63" s="154" t="str">
        <f>IF(I63&lt;&gt;0,TEXT(((H63-I63)/I63)*100,"0,0"),"--")</f>
        <v>--</v>
      </c>
      <c r="K63" s="137">
        <f>SUM(K60:K62)</f>
        <v>0</v>
      </c>
      <c r="L63" s="138">
        <f>SUM(L60:L62)</f>
        <v>0</v>
      </c>
      <c r="M63" s="154" t="str">
        <f>IF(L63&lt;&gt;0,TEXT(((K63-L63)/L63)*100,"0,0"),"--")</f>
        <v>--</v>
      </c>
    </row>
    <row r="64" spans="1:13" ht="11.25" hidden="1">
      <c r="A64" s="132" t="s">
        <v>60</v>
      </c>
      <c r="B64" s="137">
        <v>317618000</v>
      </c>
      <c r="C64" s="138">
        <v>317618000</v>
      </c>
      <c r="D64" s="154" t="str">
        <f t="shared" si="4"/>
        <v>0,0</v>
      </c>
      <c r="E64" s="137">
        <v>206</v>
      </c>
      <c r="F64" s="138">
        <v>206</v>
      </c>
      <c r="G64" s="154" t="str">
        <f t="shared" si="5"/>
        <v>0,0</v>
      </c>
      <c r="H64" s="137">
        <v>6</v>
      </c>
      <c r="I64" s="138">
        <v>6</v>
      </c>
      <c r="J64" s="154" t="str">
        <f t="shared" si="6"/>
        <v>0,0</v>
      </c>
      <c r="K64" s="137">
        <v>18</v>
      </c>
      <c r="L64" s="138">
        <v>18</v>
      </c>
      <c r="M64" s="154" t="str">
        <f t="shared" si="7"/>
        <v>0,0</v>
      </c>
    </row>
    <row r="65" spans="1:13" ht="11.25" hidden="1">
      <c r="A65" s="132" t="s">
        <v>106</v>
      </c>
      <c r="B65" s="137">
        <v>181269500</v>
      </c>
      <c r="C65" s="138">
        <v>181269500</v>
      </c>
      <c r="D65" s="154" t="str">
        <f t="shared" si="4"/>
        <v>0,0</v>
      </c>
      <c r="E65" s="137">
        <v>43</v>
      </c>
      <c r="F65" s="138">
        <v>43</v>
      </c>
      <c r="G65" s="154" t="str">
        <f t="shared" si="5"/>
        <v>0,0</v>
      </c>
      <c r="H65" s="137">
        <v>138</v>
      </c>
      <c r="I65" s="138">
        <v>138</v>
      </c>
      <c r="J65" s="154" t="str">
        <f t="shared" si="6"/>
        <v>0,0</v>
      </c>
      <c r="K65" s="137">
        <v>118</v>
      </c>
      <c r="L65" s="138">
        <v>118</v>
      </c>
      <c r="M65" s="154" t="str">
        <f t="shared" si="7"/>
        <v>0,0</v>
      </c>
    </row>
    <row r="66" spans="1:13" ht="11.25">
      <c r="A66" s="132" t="s">
        <v>107</v>
      </c>
      <c r="B66" s="137">
        <f>SUM(B38:B62)</f>
        <v>585684000</v>
      </c>
      <c r="C66" s="138">
        <f>SUM(C38:C62)</f>
        <v>525735300</v>
      </c>
      <c r="D66" s="154" t="str">
        <f t="shared" si="4"/>
        <v>11,4</v>
      </c>
      <c r="E66" s="137">
        <f>SUM(E38:E62)</f>
        <v>119</v>
      </c>
      <c r="F66" s="138">
        <f>SUM(F38:F62)</f>
        <v>139</v>
      </c>
      <c r="G66" s="154" t="str">
        <f t="shared" si="5"/>
        <v>-14,4</v>
      </c>
      <c r="H66" s="137">
        <f>SUM(H38:H62)</f>
        <v>27</v>
      </c>
      <c r="I66" s="138">
        <f>SUM(I38:I62)</f>
        <v>112</v>
      </c>
      <c r="J66" s="154" t="str">
        <f t="shared" si="6"/>
        <v>-75,9</v>
      </c>
      <c r="K66" s="137">
        <f>SUM(K38:K62)</f>
        <v>1514</v>
      </c>
      <c r="L66" s="138">
        <f>SUM(L38:L62)</f>
        <v>82</v>
      </c>
      <c r="M66" s="154" t="str">
        <f t="shared" si="7"/>
        <v>1746,3</v>
      </c>
    </row>
  </sheetData>
  <sheetProtection selectLockedCells="1" selectUnlockedCells="1"/>
  <mergeCells count="11">
    <mergeCell ref="K4:M4"/>
    <mergeCell ref="B36:D36"/>
    <mergeCell ref="E36:G36"/>
    <mergeCell ref="H36:J36"/>
    <mergeCell ref="K36:M36"/>
    <mergeCell ref="A1:J1"/>
    <mergeCell ref="A2:J2"/>
    <mergeCell ref="A3:J3"/>
    <mergeCell ref="B4:D4"/>
    <mergeCell ref="E4:G4"/>
    <mergeCell ref="H4:J4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workbookViewId="0" topLeftCell="A1">
      <pane ySplit="26" topLeftCell="BM2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5.7109375" style="158" customWidth="1"/>
    <col min="2" max="2" width="17.421875" style="158" customWidth="1"/>
    <col min="3" max="3" width="13.421875" style="158" customWidth="1"/>
    <col min="4" max="4" width="15.140625" style="158" customWidth="1"/>
    <col min="5" max="5" width="8.7109375" style="158" customWidth="1"/>
    <col min="6" max="6" width="9.7109375" style="158" customWidth="1"/>
    <col min="7" max="11" width="8.7109375" style="158" customWidth="1"/>
    <col min="12" max="12" width="2.8515625" style="158" customWidth="1"/>
    <col min="13" max="16384" width="8.7109375" style="158" customWidth="1"/>
  </cols>
  <sheetData>
    <row r="1" spans="1:17" ht="15" customHeight="1">
      <c r="A1" s="565" t="s">
        <v>121</v>
      </c>
      <c r="B1" s="565"/>
      <c r="C1" s="565"/>
      <c r="D1" s="565"/>
      <c r="E1" s="566"/>
      <c r="F1" s="566"/>
      <c r="G1" s="566"/>
      <c r="H1" s="566"/>
      <c r="I1" s="566"/>
      <c r="J1" s="566"/>
      <c r="K1" s="566"/>
      <c r="L1" s="567"/>
      <c r="M1" s="159"/>
      <c r="N1" s="159"/>
      <c r="O1" s="159"/>
      <c r="P1" s="159"/>
      <c r="Q1" s="159"/>
    </row>
    <row r="2" spans="1:17" ht="15" customHeight="1">
      <c r="A2" s="160" t="s">
        <v>122</v>
      </c>
      <c r="B2" s="161">
        <v>39448</v>
      </c>
      <c r="C2" s="162" t="s">
        <v>123</v>
      </c>
      <c r="D2" s="161">
        <v>39814</v>
      </c>
      <c r="E2" s="566"/>
      <c r="F2" s="566"/>
      <c r="G2" s="566"/>
      <c r="H2" s="566"/>
      <c r="I2" s="566"/>
      <c r="J2" s="566"/>
      <c r="K2" s="566"/>
      <c r="L2" s="567"/>
      <c r="M2" s="159"/>
      <c r="N2" s="159"/>
      <c r="O2" s="159"/>
      <c r="P2" s="159"/>
      <c r="Q2" s="159"/>
    </row>
    <row r="3" spans="1:17" ht="15" customHeight="1">
      <c r="A3" s="568"/>
      <c r="B3" s="568"/>
      <c r="C3" s="568"/>
      <c r="D3" s="568"/>
      <c r="E3" s="566"/>
      <c r="F3" s="566"/>
      <c r="G3" s="566"/>
      <c r="H3" s="566"/>
      <c r="I3" s="566"/>
      <c r="J3" s="566"/>
      <c r="K3" s="566"/>
      <c r="L3" s="567"/>
      <c r="M3" s="159"/>
      <c r="N3" s="159"/>
      <c r="O3" s="159"/>
      <c r="P3" s="159"/>
      <c r="Q3" s="159"/>
    </row>
    <row r="4" spans="1:17" ht="12.75">
      <c r="A4" s="568"/>
      <c r="B4" s="568"/>
      <c r="C4" s="568"/>
      <c r="D4" s="568"/>
      <c r="E4" s="566"/>
      <c r="F4" s="566"/>
      <c r="G4" s="566"/>
      <c r="H4" s="566"/>
      <c r="I4" s="566"/>
      <c r="J4" s="566"/>
      <c r="K4" s="566"/>
      <c r="L4" s="567"/>
      <c r="M4" s="159"/>
      <c r="N4" s="159"/>
      <c r="O4" s="159"/>
      <c r="P4" s="159"/>
      <c r="Q4" s="159"/>
    </row>
    <row r="5" spans="1:17" ht="12.75">
      <c r="A5" s="568"/>
      <c r="B5" s="568"/>
      <c r="C5" s="568"/>
      <c r="D5" s="568"/>
      <c r="E5" s="566"/>
      <c r="F5" s="566"/>
      <c r="G5" s="566"/>
      <c r="H5" s="566"/>
      <c r="I5" s="566"/>
      <c r="J5" s="566"/>
      <c r="K5" s="566"/>
      <c r="L5" s="567"/>
      <c r="M5" s="159"/>
      <c r="N5" s="159"/>
      <c r="O5" s="159"/>
      <c r="P5" s="159"/>
      <c r="Q5" s="159"/>
    </row>
    <row r="6" spans="1:17" ht="15">
      <c r="A6" s="569" t="s">
        <v>124</v>
      </c>
      <c r="B6" s="569"/>
      <c r="C6" s="569"/>
      <c r="D6" s="569"/>
      <c r="E6" s="566"/>
      <c r="F6" s="566"/>
      <c r="G6" s="566"/>
      <c r="H6" s="566"/>
      <c r="I6" s="566"/>
      <c r="J6" s="566"/>
      <c r="K6" s="566"/>
      <c r="L6" s="567"/>
      <c r="M6" s="159"/>
      <c r="N6" s="159"/>
      <c r="O6" s="159"/>
      <c r="P6" s="159"/>
      <c r="Q6" s="159"/>
    </row>
    <row r="7" spans="1:17" ht="12.75">
      <c r="A7" s="160" t="s">
        <v>122</v>
      </c>
      <c r="B7" s="161">
        <v>39083</v>
      </c>
      <c r="C7" s="162" t="s">
        <v>123</v>
      </c>
      <c r="D7" s="161">
        <v>39448</v>
      </c>
      <c r="E7" s="566"/>
      <c r="F7" s="566"/>
      <c r="G7" s="566"/>
      <c r="H7" s="566"/>
      <c r="I7" s="566"/>
      <c r="J7" s="566"/>
      <c r="K7" s="566"/>
      <c r="L7" s="567"/>
      <c r="M7" s="159"/>
      <c r="N7" s="159"/>
      <c r="O7" s="159"/>
      <c r="P7" s="159"/>
      <c r="Q7" s="159"/>
    </row>
    <row r="8" spans="1:17" ht="12.75">
      <c r="A8" s="568"/>
      <c r="B8" s="568"/>
      <c r="C8" s="568"/>
      <c r="D8" s="568"/>
      <c r="E8" s="566"/>
      <c r="F8" s="566"/>
      <c r="G8" s="566"/>
      <c r="H8" s="566"/>
      <c r="I8" s="566"/>
      <c r="J8" s="566"/>
      <c r="K8" s="566"/>
      <c r="L8" s="567"/>
      <c r="M8" s="159"/>
      <c r="N8" s="159"/>
      <c r="O8" s="159"/>
      <c r="P8" s="159"/>
      <c r="Q8" s="159"/>
    </row>
    <row r="9" spans="1:17" ht="12.75">
      <c r="A9" s="568"/>
      <c r="B9" s="568"/>
      <c r="C9" s="568"/>
      <c r="D9" s="568"/>
      <c r="E9" s="566"/>
      <c r="F9" s="566"/>
      <c r="G9" s="566"/>
      <c r="H9" s="566"/>
      <c r="I9" s="566"/>
      <c r="J9" s="566"/>
      <c r="K9" s="566"/>
      <c r="L9" s="567"/>
      <c r="M9" s="159"/>
      <c r="N9" s="159"/>
      <c r="O9" s="159"/>
      <c r="P9" s="159"/>
      <c r="Q9" s="159"/>
    </row>
    <row r="10" spans="1:17" ht="12.75">
      <c r="A10" s="568"/>
      <c r="B10" s="568"/>
      <c r="C10" s="568"/>
      <c r="D10" s="568"/>
      <c r="E10" s="566"/>
      <c r="F10" s="566"/>
      <c r="G10" s="566"/>
      <c r="H10" s="566"/>
      <c r="I10" s="566"/>
      <c r="J10" s="566"/>
      <c r="K10" s="566"/>
      <c r="L10" s="567"/>
      <c r="M10" s="159"/>
      <c r="N10" s="159"/>
      <c r="O10" s="159"/>
      <c r="P10" s="159"/>
      <c r="Q10" s="159"/>
    </row>
    <row r="11" spans="1:17" ht="12.75">
      <c r="A11" s="568"/>
      <c r="B11" s="568"/>
      <c r="C11" s="568"/>
      <c r="D11" s="568"/>
      <c r="E11" s="566"/>
      <c r="F11" s="566"/>
      <c r="G11" s="566"/>
      <c r="H11" s="566"/>
      <c r="I11" s="566"/>
      <c r="J11" s="566"/>
      <c r="K11" s="566"/>
      <c r="L11" s="567"/>
      <c r="M11" s="159"/>
      <c r="N11" s="159"/>
      <c r="O11" s="159"/>
      <c r="P11" s="159"/>
      <c r="Q11" s="159"/>
    </row>
    <row r="12" spans="1:17" ht="12.75">
      <c r="A12" s="163" t="s">
        <v>125</v>
      </c>
      <c r="B12" s="164"/>
      <c r="C12" s="164"/>
      <c r="D12" s="164"/>
      <c r="E12" s="164"/>
      <c r="F12" s="164"/>
      <c r="G12" s="164"/>
      <c r="H12" s="164"/>
      <c r="I12" s="570"/>
      <c r="J12" s="570"/>
      <c r="K12" s="570"/>
      <c r="L12" s="567"/>
      <c r="M12" s="159"/>
      <c r="N12" s="159"/>
      <c r="O12" s="159"/>
      <c r="P12" s="159"/>
      <c r="Q12" s="159"/>
    </row>
    <row r="13" spans="1:17" ht="12.75">
      <c r="A13" s="163" t="s">
        <v>126</v>
      </c>
      <c r="B13" s="164"/>
      <c r="C13" s="164"/>
      <c r="D13" s="570"/>
      <c r="E13" s="570"/>
      <c r="F13" s="570"/>
      <c r="G13" s="570"/>
      <c r="H13" s="570"/>
      <c r="I13" s="570"/>
      <c r="J13" s="570"/>
      <c r="K13" s="570"/>
      <c r="L13" s="567"/>
      <c r="M13" s="159"/>
      <c r="N13" s="159"/>
      <c r="O13" s="159"/>
      <c r="P13" s="159"/>
      <c r="Q13" s="159"/>
    </row>
    <row r="14" spans="1:17" ht="12.75">
      <c r="A14" s="571"/>
      <c r="B14" s="571"/>
      <c r="C14" s="571"/>
      <c r="D14" s="570"/>
      <c r="E14" s="570"/>
      <c r="F14" s="570"/>
      <c r="G14" s="570"/>
      <c r="H14" s="570"/>
      <c r="I14" s="570"/>
      <c r="J14" s="570"/>
      <c r="K14" s="570"/>
      <c r="L14" s="567"/>
      <c r="M14" s="159"/>
      <c r="N14" s="159"/>
      <c r="O14" s="159"/>
      <c r="P14" s="159"/>
      <c r="Q14" s="159"/>
    </row>
    <row r="15" spans="1:17" ht="12.75">
      <c r="A15" s="163" t="s">
        <v>127</v>
      </c>
      <c r="B15" s="165" t="s">
        <v>128</v>
      </c>
      <c r="C15" s="164"/>
      <c r="D15" s="570"/>
      <c r="E15" s="570"/>
      <c r="F15" s="570"/>
      <c r="G15" s="570"/>
      <c r="H15" s="570"/>
      <c r="I15" s="570"/>
      <c r="J15" s="570"/>
      <c r="K15" s="570"/>
      <c r="L15" s="567"/>
      <c r="M15" s="159"/>
      <c r="N15" s="159"/>
      <c r="O15" s="159"/>
      <c r="P15" s="159"/>
      <c r="Q15" s="159"/>
    </row>
    <row r="16" spans="1:17" ht="12.75">
      <c r="A16" s="163" t="s">
        <v>129</v>
      </c>
      <c r="B16" s="165" t="s">
        <v>130</v>
      </c>
      <c r="C16" s="164"/>
      <c r="D16" s="570"/>
      <c r="E16" s="570"/>
      <c r="F16" s="570"/>
      <c r="G16" s="570"/>
      <c r="H16" s="570"/>
      <c r="I16" s="570"/>
      <c r="J16" s="570"/>
      <c r="K16" s="570"/>
      <c r="L16" s="567"/>
      <c r="M16" s="159"/>
      <c r="N16" s="159"/>
      <c r="O16" s="159"/>
      <c r="P16" s="159"/>
      <c r="Q16" s="159"/>
    </row>
    <row r="17" spans="1:17" ht="12.75">
      <c r="A17" s="572"/>
      <c r="B17" s="572"/>
      <c r="C17" s="572"/>
      <c r="D17" s="572"/>
      <c r="E17" s="572"/>
      <c r="F17" s="572"/>
      <c r="G17" s="572"/>
      <c r="H17" s="572"/>
      <c r="I17" s="570" t="s">
        <v>131</v>
      </c>
      <c r="J17" s="570"/>
      <c r="K17" s="570"/>
      <c r="L17" s="567"/>
      <c r="M17" s="159"/>
      <c r="N17" s="159"/>
      <c r="O17" s="159"/>
      <c r="P17" s="159"/>
      <c r="Q17" s="159"/>
    </row>
    <row r="18" spans="1:17" ht="12.75">
      <c r="A18" s="572"/>
      <c r="B18" s="572"/>
      <c r="C18" s="572"/>
      <c r="D18" s="572"/>
      <c r="E18" s="572"/>
      <c r="F18" s="572"/>
      <c r="G18" s="572"/>
      <c r="H18" s="572"/>
      <c r="I18" s="164"/>
      <c r="J18" s="166" t="s">
        <v>132</v>
      </c>
      <c r="K18" s="573"/>
      <c r="L18" s="567"/>
      <c r="M18" s="159"/>
      <c r="N18" s="159"/>
      <c r="O18" s="159"/>
      <c r="P18" s="159"/>
      <c r="Q18" s="159"/>
    </row>
    <row r="19" spans="1:17" ht="12.75">
      <c r="A19" s="572"/>
      <c r="B19" s="572"/>
      <c r="C19" s="572"/>
      <c r="D19" s="572"/>
      <c r="E19" s="572"/>
      <c r="F19" s="572"/>
      <c r="G19" s="572"/>
      <c r="H19" s="572"/>
      <c r="I19" s="167" t="s">
        <v>133</v>
      </c>
      <c r="J19" s="167" t="s">
        <v>134</v>
      </c>
      <c r="K19" s="573"/>
      <c r="L19" s="567"/>
      <c r="M19" s="159"/>
      <c r="N19" s="159"/>
      <c r="O19" s="159"/>
      <c r="P19" s="159"/>
      <c r="Q19" s="159"/>
    </row>
    <row r="20" spans="1:17" ht="12.75">
      <c r="A20" s="572"/>
      <c r="B20" s="572"/>
      <c r="C20" s="572"/>
      <c r="D20" s="572"/>
      <c r="E20" s="572"/>
      <c r="F20" s="572"/>
      <c r="G20" s="572"/>
      <c r="H20" s="572"/>
      <c r="I20" s="574"/>
      <c r="J20" s="574"/>
      <c r="K20" s="574"/>
      <c r="L20" s="567"/>
      <c r="M20" s="159"/>
      <c r="N20" s="159"/>
      <c r="O20" s="159"/>
      <c r="P20" s="159"/>
      <c r="Q20" s="159"/>
    </row>
    <row r="21" spans="1:17" ht="12.75">
      <c r="A21" s="572"/>
      <c r="B21" s="572"/>
      <c r="C21" s="572"/>
      <c r="D21" s="572"/>
      <c r="E21" s="572"/>
      <c r="F21" s="572"/>
      <c r="G21" s="572"/>
      <c r="H21" s="572"/>
      <c r="I21" s="574"/>
      <c r="J21" s="574"/>
      <c r="K21" s="574"/>
      <c r="L21" s="567"/>
      <c r="M21" s="159"/>
      <c r="N21" s="159"/>
      <c r="O21" s="159"/>
      <c r="P21" s="159"/>
      <c r="Q21" s="159"/>
    </row>
    <row r="22" spans="1:17" ht="12.75">
      <c r="A22" s="572"/>
      <c r="B22" s="572"/>
      <c r="C22" s="572"/>
      <c r="D22" s="572"/>
      <c r="E22" s="572"/>
      <c r="F22" s="572"/>
      <c r="G22" s="572"/>
      <c r="H22" s="572"/>
      <c r="I22" s="574"/>
      <c r="J22" s="574"/>
      <c r="K22" s="574"/>
      <c r="L22" s="567"/>
      <c r="M22" s="159"/>
      <c r="N22" s="159"/>
      <c r="O22" s="159"/>
      <c r="P22" s="159"/>
      <c r="Q22" s="159"/>
    </row>
    <row r="23" spans="1:17" ht="12.75">
      <c r="A23" s="572"/>
      <c r="B23" s="572"/>
      <c r="C23" s="572"/>
      <c r="D23" s="572"/>
      <c r="E23" s="572"/>
      <c r="F23" s="572"/>
      <c r="G23" s="572"/>
      <c r="H23" s="572"/>
      <c r="I23" s="574"/>
      <c r="J23" s="574"/>
      <c r="K23" s="574"/>
      <c r="L23" s="567"/>
      <c r="M23" s="159"/>
      <c r="N23" s="159"/>
      <c r="O23" s="159"/>
      <c r="P23" s="159"/>
      <c r="Q23" s="159"/>
    </row>
    <row r="24" spans="1:17" ht="12.75">
      <c r="A24" s="572"/>
      <c r="B24" s="572"/>
      <c r="C24" s="572"/>
      <c r="D24" s="572"/>
      <c r="E24" s="572"/>
      <c r="F24" s="572"/>
      <c r="G24" s="572"/>
      <c r="H24" s="572"/>
      <c r="I24" s="574"/>
      <c r="J24" s="574"/>
      <c r="K24" s="574"/>
      <c r="L24" s="567"/>
      <c r="M24" s="159"/>
      <c r="N24" s="159"/>
      <c r="O24" s="159"/>
      <c r="P24" s="159"/>
      <c r="Q24" s="159"/>
    </row>
    <row r="25" spans="1:17" ht="12.75">
      <c r="A25" s="572"/>
      <c r="B25" s="572"/>
      <c r="C25" s="572"/>
      <c r="D25" s="572"/>
      <c r="E25" s="572"/>
      <c r="F25" s="572"/>
      <c r="G25" s="572"/>
      <c r="H25" s="572"/>
      <c r="I25" s="574"/>
      <c r="J25" s="574"/>
      <c r="K25" s="574"/>
      <c r="L25" s="567"/>
      <c r="M25" s="159"/>
      <c r="N25" s="159"/>
      <c r="O25" s="159"/>
      <c r="P25" s="159"/>
      <c r="Q25" s="159"/>
    </row>
    <row r="26" spans="1:17" ht="12.75">
      <c r="A26" s="575"/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159"/>
      <c r="N26" s="159"/>
      <c r="O26" s="159"/>
      <c r="P26" s="159"/>
      <c r="Q26" s="159"/>
    </row>
    <row r="27" spans="1:17" ht="12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ht="12.75">
      <c r="A28" s="168" t="s">
        <v>135</v>
      </c>
      <c r="B28" s="169">
        <v>6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ht="12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ht="12.7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ht="12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 ht="12.7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1:17" ht="12.7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7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</sheetData>
  <sheetProtection selectLockedCells="1" selectUnlockedCells="1"/>
  <mergeCells count="14">
    <mergeCell ref="I17:K17"/>
    <mergeCell ref="K18:K19"/>
    <mergeCell ref="I20:K25"/>
    <mergeCell ref="A26:L26"/>
    <mergeCell ref="A1:D1"/>
    <mergeCell ref="E1:K11"/>
    <mergeCell ref="L1:L25"/>
    <mergeCell ref="A3:D5"/>
    <mergeCell ref="A6:D6"/>
    <mergeCell ref="A8:D11"/>
    <mergeCell ref="I12:K12"/>
    <mergeCell ref="D13:K16"/>
    <mergeCell ref="A14:C14"/>
    <mergeCell ref="A17:H25"/>
  </mergeCells>
  <hyperlinks>
    <hyperlink ref="B15" location="!АВТОМАТ/МЕСЯЦ/2011/Documents and Settings/Jeka/Local Settings/Temporary Internet Files/Content.MSO/BuckUp/Sp/data.fbd" display="D:\BACKUP\FBDBase\2008\DATA.fbd"/>
    <hyperlink ref="B16" location="!АВТОМАТ/МЕСЯЦ/2011/Documents and Settings/Jeka/Local Settings/Temporary Internet Files/Content.MSO/BuckUp/Sp/data.fbd" display="D:\BACKUP\FBDBase\data07.fbd"/>
  </hyperlinks>
  <printOptions/>
  <pageMargins left="0.75" right="0.75" top="1" bottom="1" header="0.5118055555555555" footer="0.5118055555555555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75" zoomScaleNormal="75" zoomScaleSheetLayoutView="75" workbookViewId="0" topLeftCell="A1">
      <selection activeCell="F38" sqref="F38"/>
    </sheetView>
  </sheetViews>
  <sheetFormatPr defaultColWidth="9.140625" defaultRowHeight="12.75"/>
  <cols>
    <col min="1" max="1" width="31.28125" style="170" customWidth="1"/>
    <col min="2" max="3" width="7.7109375" style="170" customWidth="1"/>
    <col min="4" max="4" width="11.28125" style="170" customWidth="1"/>
    <col min="5" max="6" width="15.7109375" style="170" customWidth="1"/>
    <col min="7" max="7" width="11.57421875" style="170" customWidth="1"/>
    <col min="8" max="8" width="10.140625" style="170" customWidth="1"/>
    <col min="9" max="9" width="8.421875" style="170" customWidth="1"/>
    <col min="10" max="10" width="10.57421875" style="170" customWidth="1"/>
    <col min="11" max="12" width="11.421875" style="170" customWidth="1"/>
    <col min="13" max="13" width="10.8515625" style="170" customWidth="1"/>
    <col min="14" max="15" width="8.28125" style="170" customWidth="1"/>
    <col min="16" max="16" width="10.8515625" style="170" customWidth="1"/>
    <col min="17" max="18" width="7.57421875" style="170" customWidth="1"/>
    <col min="19" max="19" width="11.140625" style="170" customWidth="1"/>
    <col min="20" max="16384" width="17.8515625" style="170" customWidth="1"/>
  </cols>
  <sheetData>
    <row r="1" spans="1:19" ht="20.25">
      <c r="A1" s="576" t="s">
        <v>136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</row>
    <row r="2" spans="1:19" ht="20.25">
      <c r="A2" s="576" t="str">
        <f>IF(Posled2!A2=Posled1!A2,IF(Grig2!A2=Posled1!A2,IF(Grig1!A2=Posled1!A2,Grig1!A2,"расчитаны не все формы"),"расчитаны не все формы"),"расчитаны не все формы")</f>
        <v>расчитаны не все формы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19" ht="44.25" customHeight="1">
      <c r="A3" s="171" t="s">
        <v>2</v>
      </c>
      <c r="B3" s="577" t="s">
        <v>137</v>
      </c>
      <c r="C3" s="577"/>
      <c r="D3" s="577"/>
      <c r="E3" s="578" t="s">
        <v>138</v>
      </c>
      <c r="F3" s="578"/>
      <c r="G3" s="578"/>
      <c r="H3" s="578" t="s">
        <v>139</v>
      </c>
      <c r="I3" s="578"/>
      <c r="J3" s="578"/>
      <c r="K3" s="578" t="s">
        <v>140</v>
      </c>
      <c r="L3" s="578"/>
      <c r="M3" s="578"/>
      <c r="N3" s="579" t="s">
        <v>141</v>
      </c>
      <c r="O3" s="579"/>
      <c r="P3" s="579"/>
      <c r="Q3" s="579" t="s">
        <v>142</v>
      </c>
      <c r="R3" s="579"/>
      <c r="S3" s="579"/>
    </row>
    <row r="4" spans="1:19" s="177" customFormat="1" ht="18.75">
      <c r="A4" s="172"/>
      <c r="B4" s="173">
        <f>YEAR(Комментарии!B2)</f>
        <v>2008</v>
      </c>
      <c r="C4" s="174">
        <f>YEAR(Комментарии!B7)</f>
        <v>2007</v>
      </c>
      <c r="D4" s="175" t="s">
        <v>9</v>
      </c>
      <c r="E4" s="176">
        <f>B4</f>
        <v>2008</v>
      </c>
      <c r="F4" s="173">
        <f>C4</f>
        <v>2007</v>
      </c>
      <c r="G4" s="175" t="s">
        <v>9</v>
      </c>
      <c r="H4" s="176">
        <f>B4</f>
        <v>2008</v>
      </c>
      <c r="I4" s="173">
        <f>C4</f>
        <v>2007</v>
      </c>
      <c r="J4" s="175" t="s">
        <v>9</v>
      </c>
      <c r="K4" s="176">
        <f>B4</f>
        <v>2008</v>
      </c>
      <c r="L4" s="173">
        <f>C4</f>
        <v>2007</v>
      </c>
      <c r="M4" s="175" t="s">
        <v>9</v>
      </c>
      <c r="N4" s="176">
        <f>B4</f>
        <v>2008</v>
      </c>
      <c r="O4" s="173">
        <f>C4</f>
        <v>2007</v>
      </c>
      <c r="P4" s="175" t="s">
        <v>9</v>
      </c>
      <c r="Q4" s="176">
        <f>B4</f>
        <v>2008</v>
      </c>
      <c r="R4" s="173">
        <f>C4</f>
        <v>2007</v>
      </c>
      <c r="S4" s="175" t="s">
        <v>9</v>
      </c>
    </row>
    <row r="5" spans="1:19" ht="18.75">
      <c r="A5" s="178" t="str">
        <f>Grig1!A$10</f>
        <v>Алатырский</v>
      </c>
      <c r="B5" s="179">
        <f>VLOOKUP($A5,Grig1!$A$6:$P$58,2,0)-VLOOKUP($A6,Grig1!$A$6:$P$58,2,0)</f>
        <v>24</v>
      </c>
      <c r="C5" s="180">
        <f>VLOOKUP($A5,Grig1!$A$6:$P$58,3,0)-VLOOKUP($A6,Grig1!$A$6:$P$58,3,0)</f>
        <v>-1011</v>
      </c>
      <c r="D5" s="181">
        <f aca="true" t="shared" si="0" ref="D5:D33">IF(C5=0,"--",(((B5*100)/C5)-100)/100)</f>
        <v>-1.0237388724035608</v>
      </c>
      <c r="E5" s="182">
        <f>VLOOKUP($A5,Grig1!$A$6:$P$58,5,0)-VLOOKUP($A6,Grig1!$A$6:$P$58,5,0)</f>
        <v>3752357</v>
      </c>
      <c r="F5" s="183">
        <f>VLOOKUP($A5,Grig1!$A$6:$P$58,6,0)-VLOOKUP($A6,Grig1!$A$6:$P$58,6,0)</f>
        <v>4090550</v>
      </c>
      <c r="G5" s="181">
        <f aca="true" t="shared" si="1" ref="G5:G33">IF(F5=0,"--",(((E5*100)/F5)-100)/100)</f>
        <v>-0.08267665717324078</v>
      </c>
      <c r="H5" s="184">
        <f>B5/VLOOKUP($A5,НаселГлавы!$A$1:$B$29,2,0)*10000</f>
        <v>9.56175298804781</v>
      </c>
      <c r="I5" s="185">
        <f>C5/VLOOKUP($A5,НаселГлавы!$A$1:$B$29,2,0)*10000</f>
        <v>-402.78884462151393</v>
      </c>
      <c r="J5" s="181">
        <f aca="true" t="shared" si="2" ref="J5:J33">IF(I5=0,"--",(((H5*100)/I5)-100)/100)</f>
        <v>-1.0237388724035608</v>
      </c>
      <c r="K5" s="186">
        <f>E5/B5</f>
        <v>156348.20833333334</v>
      </c>
      <c r="L5" s="187">
        <f>F5/C5</f>
        <v>-4046.043521266073</v>
      </c>
      <c r="M5" s="188">
        <f aca="true" t="shared" si="3" ref="M5:M33">IF(L5=0,"--",(((K5*100)/L5)-100)/100)</f>
        <v>-39.64224581657723</v>
      </c>
      <c r="N5" s="184">
        <f>E5/VLOOKUP($A5,НаселГлавы!$A$1:$B$29,2,0)</f>
        <v>149.49629482071714</v>
      </c>
      <c r="O5" s="185">
        <f>F5/VLOOKUP($A5,НаселГлавы!$A$1:$B$29,2,0)</f>
        <v>162.97011952191235</v>
      </c>
      <c r="P5" s="181">
        <f aca="true" t="shared" si="4" ref="P5:P33">IF(O5=0,"--",(((N5*100)/O5)-100)/100)</f>
        <v>-0.08267665717324078</v>
      </c>
      <c r="Q5" s="179">
        <f>VLOOKUP($A5,Grig1!$A$6:$P$58,8,0)-Q6</f>
        <v>1</v>
      </c>
      <c r="R5" s="180">
        <f>VLOOKUP($A5,Grig1!$A$6:$P$58,9,0)-R6</f>
        <v>-133</v>
      </c>
      <c r="S5" s="181">
        <f aca="true" t="shared" si="5" ref="S5:S33">IF(R5=0,"--",(((Q5*100)/R5)-100)/100)</f>
        <v>-1.0075187969924813</v>
      </c>
    </row>
    <row r="6" spans="1:19" ht="18.75">
      <c r="A6" s="189" t="s">
        <v>15</v>
      </c>
      <c r="B6" s="190">
        <f>VLOOKUP($A6,Grig1!$A$6:$P$58,2,0)</f>
        <v>28</v>
      </c>
      <c r="C6" s="191">
        <f>VLOOKUP($A6,Grig1!$A$6:$P$58,3,0)</f>
        <v>1087</v>
      </c>
      <c r="D6" s="192">
        <f t="shared" si="0"/>
        <v>-0.9742410303587856</v>
      </c>
      <c r="E6" s="193">
        <f>VLOOKUP($A6,Grig1!$A$6:$P$58,5,0)</f>
        <v>1154000</v>
      </c>
      <c r="F6" s="194">
        <f>VLOOKUP($A6,Grig1!$A$6:$P$58,6,0)</f>
        <v>298000</v>
      </c>
      <c r="G6" s="192">
        <f t="shared" si="1"/>
        <v>2.87248322147651</v>
      </c>
      <c r="H6" s="195">
        <f>B6/VLOOKUP($A6,НаселГлавы!$A$1:$B$29,2,0)*10000</f>
        <v>6.730769230769231</v>
      </c>
      <c r="I6" s="196">
        <f>C6/VLOOKUP($A6,НаселГлавы!$A$1:$B$29,2,0)*10000</f>
        <v>261.2980769230769</v>
      </c>
      <c r="J6" s="192">
        <f t="shared" si="2"/>
        <v>-0.9742410303587856</v>
      </c>
      <c r="K6" s="197">
        <f>E6/B6</f>
        <v>41214.28571428572</v>
      </c>
      <c r="L6" s="198" t="s">
        <v>143</v>
      </c>
      <c r="M6" s="199" t="s">
        <v>143</v>
      </c>
      <c r="N6" s="195">
        <f>E6/VLOOKUP($A6,НаселГлавы!$A$1:$B$29,2,0)</f>
        <v>27.740384615384617</v>
      </c>
      <c r="O6" s="196">
        <f>F6/VLOOKUP($A6,НаселГлавы!$A$1:$B$29,2,0)</f>
        <v>7.163461538461538</v>
      </c>
      <c r="P6" s="192">
        <f t="shared" si="4"/>
        <v>2.8724832214765104</v>
      </c>
      <c r="Q6" s="190">
        <f>VLOOKUP($A6,Grig1!$A$6:$P$58,8,0)</f>
        <v>7</v>
      </c>
      <c r="R6" s="200">
        <f>VLOOKUP($A6,Grig1!$A$6:$P$58,9,0)</f>
        <v>139</v>
      </c>
      <c r="S6" s="192">
        <f t="shared" si="5"/>
        <v>-0.9496402877697843</v>
      </c>
    </row>
    <row r="7" spans="1:19" ht="18.75">
      <c r="A7" s="201" t="str">
        <f>Grig1!A$13</f>
        <v>Аликовский</v>
      </c>
      <c r="B7" s="190">
        <f>VLOOKUP($A7,Grig1!$A$6:$P$58,2,0)</f>
        <v>23</v>
      </c>
      <c r="C7" s="200">
        <f>VLOOKUP($A7,Grig1!$A$6:$P$58,3,0)</f>
        <v>23</v>
      </c>
      <c r="D7" s="192">
        <f t="shared" si="0"/>
        <v>0</v>
      </c>
      <c r="E7" s="193">
        <f>VLOOKUP($A7,Grig1!$A$6:$P$58,5,0)</f>
        <v>662500</v>
      </c>
      <c r="F7" s="194">
        <f>VLOOKUP($A7,Grig1!$A$6:$P$58,6,0)</f>
        <v>2349782</v>
      </c>
      <c r="G7" s="192">
        <f t="shared" si="1"/>
        <v>-0.7180589518517038</v>
      </c>
      <c r="H7" s="195">
        <f>B7/VLOOKUP($A7,НаселГлавы!$A$1:$B$29,2,0)*10000</f>
        <v>10.176991150442477</v>
      </c>
      <c r="I7" s="196">
        <f>C7/VLOOKUP($A7,НаселГлавы!$A$1:$B$29,2,0)*10000</f>
        <v>10.176991150442477</v>
      </c>
      <c r="J7" s="192">
        <f t="shared" si="2"/>
        <v>0</v>
      </c>
      <c r="K7" s="202" t="s">
        <v>143</v>
      </c>
      <c r="L7" s="198" t="s">
        <v>143</v>
      </c>
      <c r="M7" s="199" t="s">
        <v>143</v>
      </c>
      <c r="N7" s="195">
        <f>E7/VLOOKUP($A7,НаселГлавы!$A$1:$B$29,2,0)</f>
        <v>29.3141592920354</v>
      </c>
      <c r="O7" s="196">
        <f>F7/VLOOKUP($A7,НаселГлавы!$A$1:$B$29,2,0)</f>
        <v>103.97265486725664</v>
      </c>
      <c r="P7" s="192">
        <f t="shared" si="4"/>
        <v>-0.7180589518517038</v>
      </c>
      <c r="Q7" s="190">
        <f>VLOOKUP($A7,Grig1!$A$6:$P$58,8,0)</f>
        <v>1</v>
      </c>
      <c r="R7" s="200">
        <f>VLOOKUP($A7,Grig1!$A$6:$P$58,9,0)</f>
        <v>5</v>
      </c>
      <c r="S7" s="192">
        <f t="shared" si="5"/>
        <v>-0.8</v>
      </c>
    </row>
    <row r="8" spans="1:19" ht="18.75">
      <c r="A8" s="201" t="str">
        <f>Grig1!A$15</f>
        <v>Батыревский</v>
      </c>
      <c r="B8" s="190">
        <f>VLOOKUP($A8,Grig1!$A$6:$P$58,2,0)</f>
        <v>38</v>
      </c>
      <c r="C8" s="200">
        <f>VLOOKUP($A8,Grig1!$A$6:$P$58,3,0)</f>
        <v>36</v>
      </c>
      <c r="D8" s="192">
        <f t="shared" si="0"/>
        <v>0.05555555555555557</v>
      </c>
      <c r="E8" s="193">
        <f>VLOOKUP($A8,Grig1!$A$6:$P$58,5,0)</f>
        <v>1339820</v>
      </c>
      <c r="F8" s="194">
        <f>VLOOKUP($A8,Grig1!$A$6:$P$58,6,0)</f>
        <v>1882588</v>
      </c>
      <c r="G8" s="192">
        <f t="shared" si="1"/>
        <v>-0.2883094973515182</v>
      </c>
      <c r="H8" s="195">
        <f>B8/VLOOKUP($A8,НаселГлавы!$A$1:$B$29,2,0)*10000</f>
        <v>9.290953545232274</v>
      </c>
      <c r="I8" s="196">
        <f>C8/VLOOKUP($A8,НаселГлавы!$A$1:$B$29,2,0)*10000</f>
        <v>8.80195599022005</v>
      </c>
      <c r="J8" s="192">
        <f t="shared" si="2"/>
        <v>0.05555555555555543</v>
      </c>
      <c r="K8" s="197">
        <f aca="true" t="shared" si="6" ref="K8:L33">E8/B8</f>
        <v>35258.42105263158</v>
      </c>
      <c r="L8" s="194">
        <f t="shared" si="6"/>
        <v>52294.11111111111</v>
      </c>
      <c r="M8" s="192">
        <f t="shared" si="3"/>
        <v>-0.325766892227754</v>
      </c>
      <c r="N8" s="195">
        <f>E8/VLOOKUP($A8,НаселГлавы!$A$1:$B$29,2,0)</f>
        <v>32.75843520782396</v>
      </c>
      <c r="O8" s="196">
        <f>F8/VLOOKUP($A8,НаселГлавы!$A$1:$B$29,2,0)</f>
        <v>46.02904645476772</v>
      </c>
      <c r="P8" s="192">
        <f t="shared" si="4"/>
        <v>-0.2883094973515182</v>
      </c>
      <c r="Q8" s="190">
        <f>VLOOKUP($A8,Grig1!$A$6:$P$58,8,0)</f>
        <v>1</v>
      </c>
      <c r="R8" s="200">
        <f>VLOOKUP($A8,Grig1!$A$6:$P$58,9,0)</f>
        <v>0</v>
      </c>
      <c r="S8" s="192" t="str">
        <f t="shared" si="5"/>
        <v>--</v>
      </c>
    </row>
    <row r="9" spans="1:19" ht="18.75">
      <c r="A9" s="201" t="str">
        <f>Grig1!A$17</f>
        <v>Вурнарский</v>
      </c>
      <c r="B9" s="190">
        <f>VLOOKUP($A9,Grig1!$A$6:$P$58,2,0)</f>
        <v>50</v>
      </c>
      <c r="C9" s="200">
        <f>VLOOKUP($A9,Grig1!$A$6:$P$58,3,0)</f>
        <v>53</v>
      </c>
      <c r="D9" s="192">
        <f t="shared" si="0"/>
        <v>-0.05660377358490564</v>
      </c>
      <c r="E9" s="193">
        <f>VLOOKUP($A9,Grig1!$A$6:$P$58,5,0)</f>
        <v>2341227</v>
      </c>
      <c r="F9" s="194">
        <f>VLOOKUP($A9,Grig1!$A$6:$P$58,6,0)</f>
        <v>3482390</v>
      </c>
      <c r="G9" s="192">
        <f t="shared" si="1"/>
        <v>-0.3276953471610015</v>
      </c>
      <c r="H9" s="195">
        <f>B9/VLOOKUP($A9,НаселГлавы!$A$1:$B$29,2,0)*10000</f>
        <v>11.28668171557562</v>
      </c>
      <c r="I9" s="196">
        <f>C9/VLOOKUP($A9,НаселГлавы!$A$1:$B$29,2,0)*10000</f>
        <v>11.963882618510157</v>
      </c>
      <c r="J9" s="192">
        <f t="shared" si="2"/>
        <v>-0.05660377358490578</v>
      </c>
      <c r="K9" s="197">
        <f t="shared" si="6"/>
        <v>46824.54</v>
      </c>
      <c r="L9" s="194">
        <f t="shared" si="6"/>
        <v>65705.47169811321</v>
      </c>
      <c r="M9" s="192">
        <f t="shared" si="3"/>
        <v>-0.28735706799066163</v>
      </c>
      <c r="N9" s="195">
        <f>E9/VLOOKUP($A9,НаселГлавы!$A$1:$B$29,2,0)</f>
        <v>52.84936794582393</v>
      </c>
      <c r="O9" s="196">
        <f>F9/VLOOKUP($A9,НаселГлавы!$A$1:$B$29,2,0)</f>
        <v>78.60925507900677</v>
      </c>
      <c r="P9" s="192">
        <f t="shared" si="4"/>
        <v>-0.3276953471610015</v>
      </c>
      <c r="Q9" s="190">
        <f>VLOOKUP($A9,Grig1!$A$6:$P$58,8,0)</f>
        <v>2</v>
      </c>
      <c r="R9" s="200">
        <f>VLOOKUP($A9,Grig1!$A$6:$P$58,9,0)</f>
        <v>4</v>
      </c>
      <c r="S9" s="192">
        <f t="shared" si="5"/>
        <v>-0.5</v>
      </c>
    </row>
    <row r="10" spans="1:19" ht="18.75">
      <c r="A10" s="201" t="str">
        <f>Grig1!A$19</f>
        <v>Ибресинский</v>
      </c>
      <c r="B10" s="190">
        <f>VLOOKUP($A10,Grig1!$A$6:$P$58,2,0)</f>
        <v>34</v>
      </c>
      <c r="C10" s="200">
        <f>VLOOKUP($A10,Grig1!$A$6:$P$58,3,0)</f>
        <v>33</v>
      </c>
      <c r="D10" s="192">
        <f t="shared" si="0"/>
        <v>0.03030303030303031</v>
      </c>
      <c r="E10" s="193">
        <f>VLOOKUP($A10,Grig1!$A$6:$P$58,5,0)</f>
        <v>4619076</v>
      </c>
      <c r="F10" s="194">
        <f>VLOOKUP($A10,Grig1!$A$6:$P$58,6,0)</f>
        <v>2922500</v>
      </c>
      <c r="G10" s="192">
        <f t="shared" si="1"/>
        <v>0.5805221556886226</v>
      </c>
      <c r="H10" s="195">
        <f>B10/VLOOKUP($A10,НаселГлавы!$A$1:$B$29,2,0)*10000</f>
        <v>11.846689895470384</v>
      </c>
      <c r="I10" s="196">
        <f>C10/VLOOKUP($A10,НаселГлавы!$A$1:$B$29,2,0)*10000</f>
        <v>11.498257839721255</v>
      </c>
      <c r="J10" s="192">
        <f t="shared" si="2"/>
        <v>0.03030303030303031</v>
      </c>
      <c r="K10" s="197">
        <f t="shared" si="6"/>
        <v>135855.17647058822</v>
      </c>
      <c r="L10" s="194">
        <f t="shared" si="6"/>
        <v>88560.60606060606</v>
      </c>
      <c r="M10" s="192">
        <f t="shared" si="3"/>
        <v>0.5340362099330747</v>
      </c>
      <c r="N10" s="195">
        <f>E10/VLOOKUP($A10,НаселГлавы!$A$1:$B$29,2,0)</f>
        <v>160.94341463414634</v>
      </c>
      <c r="O10" s="196">
        <f>F10/VLOOKUP($A10,НаселГлавы!$A$1:$B$29,2,0)</f>
        <v>101.82926829268293</v>
      </c>
      <c r="P10" s="192">
        <f t="shared" si="4"/>
        <v>0.5805221556886226</v>
      </c>
      <c r="Q10" s="190">
        <f>VLOOKUP($A10,Grig1!$A$6:$P$58,8,0)</f>
        <v>1</v>
      </c>
      <c r="R10" s="200">
        <f>VLOOKUP($A10,Grig1!$A$6:$P$58,9,0)</f>
        <v>2</v>
      </c>
      <c r="S10" s="192">
        <f t="shared" si="5"/>
        <v>-0.5</v>
      </c>
    </row>
    <row r="11" spans="1:19" ht="18.75">
      <c r="A11" s="201" t="str">
        <f>Grig1!A$22</f>
        <v>Канашский</v>
      </c>
      <c r="B11" s="190">
        <f>VLOOKUP($A11,Grig1!$A$6:$P$58,2,0)-VLOOKUP($A12,Grig1!$A$6:$P$58,2,0)</f>
        <v>43</v>
      </c>
      <c r="C11" s="200">
        <f>VLOOKUP($A11,Grig1!$A$6:$P$58,3,0)-VLOOKUP($A12,Grig1!$A$6:$P$58,3,0)</f>
        <v>70</v>
      </c>
      <c r="D11" s="192">
        <f t="shared" si="0"/>
        <v>-0.3857142857142857</v>
      </c>
      <c r="E11" s="193">
        <f>VLOOKUP($A11,Grig1!$A$6:$P$58,5,0)-VLOOKUP($A12,Grig1!$A$6:$P$58,5,0)</f>
        <v>5282248</v>
      </c>
      <c r="F11" s="194">
        <f>VLOOKUP($A11,Grig1!$A$6:$P$58,6,0)-VLOOKUP($A12,Grig1!$A$6:$P$58,6,0)</f>
        <v>3651500</v>
      </c>
      <c r="G11" s="192">
        <f t="shared" si="1"/>
        <v>0.44659674106531555</v>
      </c>
      <c r="H11" s="195">
        <f>B11/VLOOKUP($A11,НаселГлавы!$A$1:$B$29,2,0)*10000</f>
        <v>8.582834331337326</v>
      </c>
      <c r="I11" s="196">
        <f>C11/VLOOKUP($A11,НаселГлавы!$A$1:$B$29,2,0)*10000</f>
        <v>13.972055888223553</v>
      </c>
      <c r="J11" s="192">
        <f t="shared" si="2"/>
        <v>-0.3857142857142856</v>
      </c>
      <c r="K11" s="197">
        <f t="shared" si="6"/>
        <v>122842.97674418605</v>
      </c>
      <c r="L11" s="194">
        <f t="shared" si="6"/>
        <v>52164.28571428572</v>
      </c>
      <c r="M11" s="192">
        <f t="shared" si="3"/>
        <v>1.3549249273156299</v>
      </c>
      <c r="N11" s="195">
        <f>E11/VLOOKUP($A11,НаселГлавы!$A$1:$B$29,2,0)</f>
        <v>105.43409181636727</v>
      </c>
      <c r="O11" s="196">
        <f>F11/VLOOKUP($A11,НаселГлавы!$A$1:$B$29,2,0)</f>
        <v>72.88423153692615</v>
      </c>
      <c r="P11" s="192">
        <f t="shared" si="4"/>
        <v>0.44659674106531555</v>
      </c>
      <c r="Q11" s="190">
        <f>VLOOKUP($A11,Grig1!$A$6:$P$58,8,0)-Q12</f>
        <v>11</v>
      </c>
      <c r="R11" s="200">
        <f>VLOOKUP($A11,Grig1!$A$6:$P$58,9,0)-R12</f>
        <v>9</v>
      </c>
      <c r="S11" s="192">
        <f t="shared" si="5"/>
        <v>0.2222222222222223</v>
      </c>
    </row>
    <row r="12" spans="1:19" ht="18.75">
      <c r="A12" s="201" t="s">
        <v>27</v>
      </c>
      <c r="B12" s="190">
        <f>VLOOKUP($A12,Grig1!$A$6:$P$58,2,0)</f>
        <v>37</v>
      </c>
      <c r="C12" s="191">
        <f>VLOOKUP($A12,Grig1!$A$6:$P$58,3,0)</f>
        <v>4</v>
      </c>
      <c r="D12" s="181">
        <f t="shared" si="0"/>
        <v>8.25</v>
      </c>
      <c r="E12" s="193">
        <f>VLOOKUP($A12,Grig1!$A$6:$P$58,5,0)</f>
        <v>2</v>
      </c>
      <c r="F12" s="194">
        <f>VLOOKUP($A12,Grig1!$A$6:$P$58,6,0)</f>
        <v>0</v>
      </c>
      <c r="G12" s="192" t="str">
        <f t="shared" si="1"/>
        <v>--</v>
      </c>
      <c r="H12" s="195">
        <f>B12/VLOOKUP($A12,НаселГлавы!$A$1:$B$29,2,0)*10000</f>
        <v>7.855626326963907</v>
      </c>
      <c r="I12" s="196">
        <f>C12/VLOOKUP($A12,НаселГлавы!$A$1:$B$29,2,0)*10000</f>
        <v>0.8492569002123143</v>
      </c>
      <c r="J12" s="181">
        <f t="shared" si="2"/>
        <v>8.25</v>
      </c>
      <c r="K12" s="197">
        <f t="shared" si="6"/>
        <v>0.05405405405405406</v>
      </c>
      <c r="L12" s="198" t="s">
        <v>143</v>
      </c>
      <c r="M12" s="199" t="s">
        <v>143</v>
      </c>
      <c r="N12" s="195">
        <f>E12/VLOOKUP($A12,НаселГлавы!$A$1:$B$29,2,0)</f>
        <v>4.2462845010615714E-05</v>
      </c>
      <c r="O12" s="196">
        <f>F12/VLOOKUP($A12,НаселГлавы!$A$1:$B$29,2,0)</f>
        <v>0</v>
      </c>
      <c r="P12" s="181" t="str">
        <f t="shared" si="4"/>
        <v>--</v>
      </c>
      <c r="Q12" s="190">
        <f>VLOOKUP($A12,Grig1!$A$6:$P$58,8,0)</f>
        <v>2</v>
      </c>
      <c r="R12" s="200">
        <f>VLOOKUP($A12,Grig1!$A$6:$P$58,9,0)</f>
        <v>0</v>
      </c>
      <c r="S12" s="192" t="str">
        <f t="shared" si="5"/>
        <v>--</v>
      </c>
    </row>
    <row r="13" spans="1:19" ht="18.75">
      <c r="A13" s="201" t="str">
        <f>Grig1!A$24</f>
        <v>Козловский</v>
      </c>
      <c r="B13" s="190">
        <f>VLOOKUP($A13,Grig1!$A$6:$P$58,2,0)</f>
        <v>28</v>
      </c>
      <c r="C13" s="200">
        <f>VLOOKUP($A13,Grig1!$A$6:$P$58,3,0)</f>
        <v>29</v>
      </c>
      <c r="D13" s="192">
        <f t="shared" si="0"/>
        <v>-0.03448275862068968</v>
      </c>
      <c r="E13" s="193">
        <f>VLOOKUP($A13,Grig1!$A$6:$P$58,5,0)</f>
        <v>6549623</v>
      </c>
      <c r="F13" s="194">
        <f>VLOOKUP($A13,Grig1!$A$6:$P$58,6,0)</f>
        <v>1344000</v>
      </c>
      <c r="G13" s="192">
        <f t="shared" si="1"/>
        <v>3.873231398809524</v>
      </c>
      <c r="H13" s="195">
        <f>B13/VLOOKUP($A13,НаселГлавы!$A$1:$B$29,2,0)*10000</f>
        <v>10.256410256410257</v>
      </c>
      <c r="I13" s="196">
        <f>C13/VLOOKUP($A13,НаселГлавы!$A$1:$B$29,2,0)*10000</f>
        <v>10.622710622710622</v>
      </c>
      <c r="J13" s="192">
        <f t="shared" si="2"/>
        <v>-0.03448275862068968</v>
      </c>
      <c r="K13" s="197">
        <f t="shared" si="6"/>
        <v>233915.10714285713</v>
      </c>
      <c r="L13" s="194">
        <f t="shared" si="6"/>
        <v>46344.8275862069</v>
      </c>
      <c r="M13" s="192">
        <f t="shared" si="3"/>
        <v>4.047275377338434</v>
      </c>
      <c r="N13" s="195">
        <f>E13/VLOOKUP($A13,НаселГлавы!$A$1:$B$29,2,0)</f>
        <v>239.9129304029304</v>
      </c>
      <c r="O13" s="196">
        <f>F13/VLOOKUP($A13,НаселГлавы!$A$1:$B$29,2,0)</f>
        <v>49.23076923076923</v>
      </c>
      <c r="P13" s="192">
        <f t="shared" si="4"/>
        <v>3.8732313988095233</v>
      </c>
      <c r="Q13" s="190">
        <f>VLOOKUP($A13,Grig1!$A$6:$P$58,8,0)</f>
        <v>1</v>
      </c>
      <c r="R13" s="200">
        <f>VLOOKUP($A13,Grig1!$A$6:$P$58,9,0)</f>
        <v>2</v>
      </c>
      <c r="S13" s="192">
        <f t="shared" si="5"/>
        <v>-0.5</v>
      </c>
    </row>
    <row r="14" spans="1:19" ht="18.75">
      <c r="A14" s="201" t="str">
        <f>Grig1!A$26</f>
        <v>Комсомольский</v>
      </c>
      <c r="B14" s="190">
        <f>VLOOKUP($A14,Grig1!$A$6:$P$58,2,0)</f>
        <v>20</v>
      </c>
      <c r="C14" s="200">
        <f>VLOOKUP($A14,Grig1!$A$6:$P$58,3,0)</f>
        <v>25</v>
      </c>
      <c r="D14" s="192">
        <f t="shared" si="0"/>
        <v>-0.2</v>
      </c>
      <c r="E14" s="193">
        <f>VLOOKUP($A14,Grig1!$A$6:$P$58,5,0)</f>
        <v>1363500</v>
      </c>
      <c r="F14" s="194">
        <f>VLOOKUP($A14,Grig1!$A$6:$P$58,6,0)</f>
        <v>705651</v>
      </c>
      <c r="G14" s="192">
        <f t="shared" si="1"/>
        <v>0.9322582976570569</v>
      </c>
      <c r="H14" s="195">
        <f>B14/VLOOKUP($A14,НаселГлавы!$A$1:$B$29,2,0)*10000</f>
        <v>7.194244604316547</v>
      </c>
      <c r="I14" s="196">
        <f>C14/VLOOKUP($A14,НаселГлавы!$A$1:$B$29,2,0)*10000</f>
        <v>8.992805755395684</v>
      </c>
      <c r="J14" s="192">
        <f t="shared" si="2"/>
        <v>-0.2</v>
      </c>
      <c r="K14" s="197">
        <f t="shared" si="6"/>
        <v>68175</v>
      </c>
      <c r="L14" s="198" t="s">
        <v>143</v>
      </c>
      <c r="M14" s="199" t="s">
        <v>143</v>
      </c>
      <c r="N14" s="195">
        <f>E14/VLOOKUP($A14,НаселГлавы!$A$1:$B$29,2,0)</f>
        <v>49.04676258992806</v>
      </c>
      <c r="O14" s="196">
        <f>F14/VLOOKUP($A14,НаселГлавы!$A$1:$B$29,2,0)</f>
        <v>25.383129496402876</v>
      </c>
      <c r="P14" s="192">
        <f t="shared" si="4"/>
        <v>0.9322582976570573</v>
      </c>
      <c r="Q14" s="190">
        <f>VLOOKUP($A14,Grig1!$A$6:$P$58,8,0)</f>
        <v>1</v>
      </c>
      <c r="R14" s="200">
        <f>VLOOKUP($A14,Grig1!$A$6:$P$58,9,0)</f>
        <v>5</v>
      </c>
      <c r="S14" s="192">
        <f t="shared" si="5"/>
        <v>-0.8</v>
      </c>
    </row>
    <row r="15" spans="1:19" ht="18.75">
      <c r="A15" s="201" t="str">
        <f>Grig1!A$28</f>
        <v>Красноармейский</v>
      </c>
      <c r="B15" s="190">
        <f>VLOOKUP($A15,Grig1!$A$6:$P$58,2,0)</f>
        <v>15</v>
      </c>
      <c r="C15" s="200">
        <f>VLOOKUP($A15,Grig1!$A$6:$P$58,3,0)</f>
        <v>26</v>
      </c>
      <c r="D15" s="192">
        <f t="shared" si="0"/>
        <v>-0.4230769230769231</v>
      </c>
      <c r="E15" s="193">
        <f>VLOOKUP($A15,Grig1!$A$6:$P$58,5,0)</f>
        <v>638500</v>
      </c>
      <c r="F15" s="194">
        <f>VLOOKUP($A15,Grig1!$A$6:$P$58,6,0)</f>
        <v>1488804</v>
      </c>
      <c r="G15" s="192">
        <f t="shared" si="1"/>
        <v>-0.5711322645559792</v>
      </c>
      <c r="H15" s="195">
        <f>B15/VLOOKUP($A15,НаселГлавы!$A$1:$B$29,2,0)*10000</f>
        <v>7.978723404255319</v>
      </c>
      <c r="I15" s="196">
        <f>C15/VLOOKUP($A15,НаселГлавы!$A$1:$B$29,2,0)*10000</f>
        <v>13.829787234042554</v>
      </c>
      <c r="J15" s="192">
        <f t="shared" si="2"/>
        <v>-0.42307692307692313</v>
      </c>
      <c r="K15" s="197">
        <f t="shared" si="6"/>
        <v>42566.666666666664</v>
      </c>
      <c r="L15" s="198" t="s">
        <v>143</v>
      </c>
      <c r="M15" s="199" t="s">
        <v>143</v>
      </c>
      <c r="N15" s="195">
        <f>E15/VLOOKUP($A15,НаселГлавы!$A$1:$B$29,2,0)</f>
        <v>33.962765957446805</v>
      </c>
      <c r="O15" s="196">
        <f>F15/VLOOKUP($A15,НаселГлавы!$A$1:$B$29,2,0)</f>
        <v>79.19170212765957</v>
      </c>
      <c r="P15" s="192">
        <f t="shared" si="4"/>
        <v>-0.5711322645559792</v>
      </c>
      <c r="Q15" s="190">
        <f>VLOOKUP($A15,Grig1!$A$6:$P$58,8,0)</f>
        <v>1</v>
      </c>
      <c r="R15" s="200">
        <f>VLOOKUP($A15,Grig1!$A$6:$P$58,9,0)</f>
        <v>3</v>
      </c>
      <c r="S15" s="192">
        <f t="shared" si="5"/>
        <v>-0.6666666666666665</v>
      </c>
    </row>
    <row r="16" spans="1:19" ht="18.75">
      <c r="A16" s="201" t="str">
        <f>Grig1!A$30</f>
        <v>Красночетайский</v>
      </c>
      <c r="B16" s="190">
        <f>VLOOKUP($A16,Grig1!$A$6:$P$58,2,0)</f>
        <v>38</v>
      </c>
      <c r="C16" s="200">
        <f>VLOOKUP($A16,Grig1!$A$6:$P$58,3,0)</f>
        <v>30</v>
      </c>
      <c r="D16" s="192">
        <f t="shared" si="0"/>
        <v>0.2666666666666667</v>
      </c>
      <c r="E16" s="193">
        <f>VLOOKUP($A16,Grig1!$A$6:$P$58,5,0)</f>
        <v>2475000</v>
      </c>
      <c r="F16" s="194">
        <f>VLOOKUP($A16,Grig1!$A$6:$P$58,6,0)</f>
        <v>1663500</v>
      </c>
      <c r="G16" s="192">
        <f t="shared" si="1"/>
        <v>0.48782687105500455</v>
      </c>
      <c r="H16" s="195">
        <f>B16/VLOOKUP($A16,НаселГлавы!$A$1:$B$29,2,0)*10000</f>
        <v>16.30901287553648</v>
      </c>
      <c r="I16" s="196">
        <f>C16/VLOOKUP($A16,НаселГлавы!$A$1:$B$29,2,0)*10000</f>
        <v>12.875536480686696</v>
      </c>
      <c r="J16" s="192">
        <f t="shared" si="2"/>
        <v>0.2666666666666667</v>
      </c>
      <c r="K16" s="197">
        <f t="shared" si="6"/>
        <v>65131.57894736842</v>
      </c>
      <c r="L16" s="194">
        <f t="shared" si="6"/>
        <v>55450</v>
      </c>
      <c r="M16" s="192">
        <f t="shared" si="3"/>
        <v>0.17460016135921408</v>
      </c>
      <c r="N16" s="195">
        <f>E16/VLOOKUP($A16,НаселГлавы!$A$1:$B$29,2,0)</f>
        <v>106.22317596566523</v>
      </c>
      <c r="O16" s="196">
        <f>F16/VLOOKUP($A16,НаселГлавы!$A$1:$B$29,2,0)</f>
        <v>71.39484978540773</v>
      </c>
      <c r="P16" s="192">
        <f t="shared" si="4"/>
        <v>0.4878268710550043</v>
      </c>
      <c r="Q16" s="190">
        <f>VLOOKUP($A16,Grig1!$A$6:$P$58,8,0)</f>
        <v>1</v>
      </c>
      <c r="R16" s="200">
        <f>VLOOKUP($A16,Grig1!$A$6:$P$58,9,0)</f>
        <v>7</v>
      </c>
      <c r="S16" s="192">
        <f t="shared" si="5"/>
        <v>-0.8571428571428571</v>
      </c>
    </row>
    <row r="17" spans="1:19" ht="18.75">
      <c r="A17" s="201" t="str">
        <f>Grig1!A$32</f>
        <v>Марпосадский</v>
      </c>
      <c r="B17" s="190">
        <f>VLOOKUP($A17,Grig1!$A$6:$P$58,2,0)</f>
        <v>36</v>
      </c>
      <c r="C17" s="200">
        <f>VLOOKUP($A17,Grig1!$A$6:$P$58,3,0)</f>
        <v>38</v>
      </c>
      <c r="D17" s="192">
        <f t="shared" si="0"/>
        <v>-0.052631578947368356</v>
      </c>
      <c r="E17" s="193">
        <f>VLOOKUP($A17,Grig1!$A$6:$P$58,5,0)</f>
        <v>3066000</v>
      </c>
      <c r="F17" s="194">
        <f>VLOOKUP($A17,Grig1!$A$6:$P$58,6,0)</f>
        <v>2848400</v>
      </c>
      <c r="G17" s="192">
        <f t="shared" si="1"/>
        <v>0.07639376492065722</v>
      </c>
      <c r="H17" s="195">
        <f>B17/VLOOKUP($A17,НаселГлавы!$A$1:$B$29,2,0)*10000</f>
        <v>12.76595744680851</v>
      </c>
      <c r="I17" s="196">
        <f>C17/VLOOKUP($A17,НаселГлавы!$A$1:$B$29,2,0)*10000</f>
        <v>13.475177304964538</v>
      </c>
      <c r="J17" s="192">
        <f t="shared" si="2"/>
        <v>-0.052631578947368356</v>
      </c>
      <c r="K17" s="197">
        <f t="shared" si="6"/>
        <v>85166.66666666667</v>
      </c>
      <c r="L17" s="194">
        <f t="shared" si="6"/>
        <v>74957.8947368421</v>
      </c>
      <c r="M17" s="192">
        <f t="shared" si="3"/>
        <v>0.13619341852736055</v>
      </c>
      <c r="N17" s="195">
        <f>E17/VLOOKUP($A17,НаселГлавы!$A$1:$B$29,2,0)</f>
        <v>108.72340425531915</v>
      </c>
      <c r="O17" s="196">
        <f>F17/VLOOKUP($A17,НаселГлавы!$A$1:$B$29,2,0)</f>
        <v>101.00709219858156</v>
      </c>
      <c r="P17" s="192">
        <f t="shared" si="4"/>
        <v>0.07639376492065722</v>
      </c>
      <c r="Q17" s="190">
        <f>VLOOKUP($A17,Grig1!$A$6:$P$58,8,0)</f>
        <v>5</v>
      </c>
      <c r="R17" s="200">
        <f>VLOOKUP($A17,Grig1!$A$6:$P$58,9,0)</f>
        <v>4</v>
      </c>
      <c r="S17" s="192">
        <f t="shared" si="5"/>
        <v>0.25</v>
      </c>
    </row>
    <row r="18" spans="1:19" ht="18.75">
      <c r="A18" s="201" t="str">
        <f>Grig1!A$34</f>
        <v>Моргаушский</v>
      </c>
      <c r="B18" s="190">
        <f>VLOOKUP($A18,Grig1!$A$6:$P$58,2,0)</f>
        <v>37</v>
      </c>
      <c r="C18" s="200">
        <f>VLOOKUP($A18,Grig1!$A$6:$P$58,3,0)</f>
        <v>34</v>
      </c>
      <c r="D18" s="192">
        <f t="shared" si="0"/>
        <v>0.0882352941176471</v>
      </c>
      <c r="E18" s="193">
        <f>VLOOKUP($A18,Grig1!$A$6:$P$58,5,0)</f>
        <v>1937300</v>
      </c>
      <c r="F18" s="194">
        <f>VLOOKUP($A18,Grig1!$A$6:$P$58,6,0)</f>
        <v>1674620</v>
      </c>
      <c r="G18" s="192">
        <f t="shared" si="1"/>
        <v>0.15685946662526418</v>
      </c>
      <c r="H18" s="195">
        <f>B18/VLOOKUP($A18,НаселГлавы!$A$1:$B$29,2,0)*10000</f>
        <v>9.814323607427056</v>
      </c>
      <c r="I18" s="196">
        <f>C18/VLOOKUP($A18,НаселГлавы!$A$1:$B$29,2,0)*10000</f>
        <v>9.018567639257295</v>
      </c>
      <c r="J18" s="192">
        <f t="shared" si="2"/>
        <v>0.0882352941176471</v>
      </c>
      <c r="K18" s="197">
        <f t="shared" si="6"/>
        <v>52359.45945945946</v>
      </c>
      <c r="L18" s="198" t="s">
        <v>143</v>
      </c>
      <c r="M18" s="199" t="s">
        <v>143</v>
      </c>
      <c r="N18" s="195">
        <f>E18/VLOOKUP($A18,НаселГлавы!$A$1:$B$29,2,0)</f>
        <v>51.38726790450929</v>
      </c>
      <c r="O18" s="196">
        <f>F18/VLOOKUP($A18,НаселГлавы!$A$1:$B$29,2,0)</f>
        <v>44.41962864721486</v>
      </c>
      <c r="P18" s="192">
        <f t="shared" si="4"/>
        <v>0.15685946662526434</v>
      </c>
      <c r="Q18" s="190">
        <f>VLOOKUP($A18,Grig1!$A$6:$P$58,8,0)</f>
        <v>7</v>
      </c>
      <c r="R18" s="200">
        <f>VLOOKUP($A18,Grig1!$A$6:$P$58,9,0)</f>
        <v>5</v>
      </c>
      <c r="S18" s="192">
        <f t="shared" si="5"/>
        <v>0.4</v>
      </c>
    </row>
    <row r="19" spans="1:19" ht="18.75">
      <c r="A19" s="201" t="str">
        <f>Grig1!A$37</f>
        <v>г.Новочебоксарск</v>
      </c>
      <c r="B19" s="190">
        <f>VLOOKUP($A19,Grig1!$A$6:$P$58,2,0)</f>
        <v>41</v>
      </c>
      <c r="C19" s="200">
        <f>VLOOKUP($A19,Grig1!$A$6:$P$58,3,0)</f>
        <v>49</v>
      </c>
      <c r="D19" s="192">
        <f t="shared" si="0"/>
        <v>-0.16326530612244894</v>
      </c>
      <c r="E19" s="193">
        <f>VLOOKUP($A19,Grig1!$A$6:$P$58,5,0)</f>
        <v>1006600</v>
      </c>
      <c r="F19" s="194">
        <f>VLOOKUP($A19,Grig1!$A$6:$P$58,6,0)</f>
        <v>1958963</v>
      </c>
      <c r="G19" s="192">
        <f t="shared" si="1"/>
        <v>-0.48615670637985503</v>
      </c>
      <c r="H19" s="195">
        <f>B19/VLOOKUP($A19,НаселГлавы!$A$1:$B$29,2,0)*10000</f>
        <v>3.210649960845732</v>
      </c>
      <c r="I19" s="196">
        <f>C19/VLOOKUP($A19,НаселГлавы!$A$1:$B$29,2,0)*10000</f>
        <v>3.837118245888802</v>
      </c>
      <c r="J19" s="192">
        <f t="shared" si="2"/>
        <v>-0.16326530612244908</v>
      </c>
      <c r="K19" s="197">
        <f t="shared" si="6"/>
        <v>24551.219512195123</v>
      </c>
      <c r="L19" s="194">
        <f t="shared" si="6"/>
        <v>39978.836734693876</v>
      </c>
      <c r="M19" s="192">
        <f t="shared" si="3"/>
        <v>-0.3858946003076316</v>
      </c>
      <c r="N19" s="195">
        <f>E19/VLOOKUP($A19,НаселГлавы!$A$1:$B$29,2,0)</f>
        <v>7.882537196554424</v>
      </c>
      <c r="O19" s="196">
        <f>F19/VLOOKUP($A19,НаселГлавы!$A$1:$B$29,2,0)</f>
        <v>15.340352388410336</v>
      </c>
      <c r="P19" s="192">
        <f t="shared" si="4"/>
        <v>-0.48615670637985503</v>
      </c>
      <c r="Q19" s="190">
        <f>VLOOKUP($A19,Grig1!$A$6:$P$58,8,0)</f>
        <v>0</v>
      </c>
      <c r="R19" s="200">
        <f>VLOOKUP($A19,Grig1!$A$6:$P$58,9,0)</f>
        <v>2</v>
      </c>
      <c r="S19" s="192">
        <f t="shared" si="5"/>
        <v>-1</v>
      </c>
    </row>
    <row r="20" spans="1:19" ht="18.75">
      <c r="A20" s="201" t="str">
        <f>Grig1!A$38</f>
        <v>Порецкий</v>
      </c>
      <c r="B20" s="190">
        <f>VLOOKUP($A20,Grig1!$A$6:$P$58,2,0)</f>
        <v>21</v>
      </c>
      <c r="C20" s="200">
        <f>VLOOKUP($A20,Grig1!$A$6:$P$58,3,0)</f>
        <v>19</v>
      </c>
      <c r="D20" s="192">
        <f t="shared" si="0"/>
        <v>0.10526315789473685</v>
      </c>
      <c r="E20" s="193">
        <f>VLOOKUP($A20,Grig1!$A$6:$P$58,5,0)</f>
        <v>2113500</v>
      </c>
      <c r="F20" s="194">
        <f>VLOOKUP($A20,Grig1!$A$6:$P$58,6,0)</f>
        <v>897200</v>
      </c>
      <c r="G20" s="192">
        <f t="shared" si="1"/>
        <v>1.3556620597414177</v>
      </c>
      <c r="H20" s="195">
        <f>B20/VLOOKUP($A20,НаселГлавы!$A$1:$B$29,2,0)*10000</f>
        <v>10.99476439790576</v>
      </c>
      <c r="I20" s="196">
        <f>C20/VLOOKUP($A20,НаселГлавы!$A$1:$B$29,2,0)*10000</f>
        <v>9.947643979057592</v>
      </c>
      <c r="J20" s="192">
        <f t="shared" si="2"/>
        <v>0.10526315789473699</v>
      </c>
      <c r="K20" s="197">
        <f t="shared" si="6"/>
        <v>100642.85714285714</v>
      </c>
      <c r="L20" s="194">
        <f t="shared" si="6"/>
        <v>47221.05263157895</v>
      </c>
      <c r="M20" s="192">
        <f t="shared" si="3"/>
        <v>1.1313132921469973</v>
      </c>
      <c r="N20" s="195">
        <f>E20/VLOOKUP($A20,НаселГлавы!$A$1:$B$29,2,0)</f>
        <v>110.6544502617801</v>
      </c>
      <c r="O20" s="196">
        <f>F20/VLOOKUP($A20,НаселГлавы!$A$1:$B$29,2,0)</f>
        <v>46.973821989528794</v>
      </c>
      <c r="P20" s="192">
        <f t="shared" si="4"/>
        <v>1.3556620597414175</v>
      </c>
      <c r="Q20" s="190">
        <f>VLOOKUP($A20,Grig1!$A$6:$P$58,8,0)</f>
        <v>4</v>
      </c>
      <c r="R20" s="200">
        <f>VLOOKUP($A20,Grig1!$A$6:$P$58,9,0)</f>
        <v>3</v>
      </c>
      <c r="S20" s="192">
        <f t="shared" si="5"/>
        <v>0.3333333333333334</v>
      </c>
    </row>
    <row r="21" spans="1:19" ht="18.75">
      <c r="A21" s="201" t="str">
        <f>Grig1!A$40</f>
        <v>Урмарский</v>
      </c>
      <c r="B21" s="190">
        <f>VLOOKUP($A21,Grig1!$A$6:$P$58,2,0)</f>
        <v>24</v>
      </c>
      <c r="C21" s="200">
        <f>VLOOKUP($A21,Grig1!$A$6:$P$58,3,0)</f>
        <v>33</v>
      </c>
      <c r="D21" s="192">
        <f t="shared" si="0"/>
        <v>-0.27272727272727265</v>
      </c>
      <c r="E21" s="193">
        <f>VLOOKUP($A21,Grig1!$A$6:$P$58,5,0)</f>
        <v>1185000</v>
      </c>
      <c r="F21" s="194">
        <f>VLOOKUP($A21,Grig1!$A$6:$P$58,6,0)</f>
        <v>3056400</v>
      </c>
      <c r="G21" s="192">
        <f t="shared" si="1"/>
        <v>-0.6122889674126423</v>
      </c>
      <c r="H21" s="195">
        <f>B21/VLOOKUP($A21,НаселГлавы!$A$1:$B$29,2,0)*10000</f>
        <v>8.247422680412372</v>
      </c>
      <c r="I21" s="196">
        <f>C21/VLOOKUP($A21,НаселГлавы!$A$1:$B$29,2,0)*10000</f>
        <v>11.340206185567009</v>
      </c>
      <c r="J21" s="192">
        <f t="shared" si="2"/>
        <v>-0.27272727272727254</v>
      </c>
      <c r="K21" s="197">
        <f t="shared" si="6"/>
        <v>49375</v>
      </c>
      <c r="L21" s="194">
        <f t="shared" si="6"/>
        <v>92618.18181818182</v>
      </c>
      <c r="M21" s="192">
        <f t="shared" si="3"/>
        <v>-0.4668973301923833</v>
      </c>
      <c r="N21" s="195">
        <f>E21/VLOOKUP($A21,НаселГлавы!$A$1:$B$29,2,0)</f>
        <v>40.72164948453608</v>
      </c>
      <c r="O21" s="196">
        <f>F21/VLOOKUP($A21,НаселГлавы!$A$1:$B$29,2,0)</f>
        <v>105.03092783505154</v>
      </c>
      <c r="P21" s="192">
        <f t="shared" si="4"/>
        <v>-0.6122889674126424</v>
      </c>
      <c r="Q21" s="190">
        <f>VLOOKUP($A21,Grig1!$A$6:$P$58,8,0)</f>
        <v>7</v>
      </c>
      <c r="R21" s="200">
        <f>VLOOKUP($A21,Grig1!$A$6:$P$58,9,0)</f>
        <v>2</v>
      </c>
      <c r="S21" s="192">
        <f t="shared" si="5"/>
        <v>2.5</v>
      </c>
    </row>
    <row r="22" spans="1:19" ht="18.75">
      <c r="A22" s="201" t="str">
        <f>Grig1!A$42</f>
        <v>Цивильский</v>
      </c>
      <c r="B22" s="190">
        <f>VLOOKUP($A22,Grig1!$A$6:$P$58,2,0)</f>
        <v>52</v>
      </c>
      <c r="C22" s="200">
        <f>VLOOKUP($A22,Grig1!$A$6:$P$58,3,0)</f>
        <v>38</v>
      </c>
      <c r="D22" s="192">
        <f t="shared" si="0"/>
        <v>0.3684210526315789</v>
      </c>
      <c r="E22" s="193">
        <f>VLOOKUP($A22,Grig1!$A$6:$P$58,5,0)</f>
        <v>3368000</v>
      </c>
      <c r="F22" s="194">
        <f>VLOOKUP($A22,Grig1!$A$6:$P$58,6,0)</f>
        <v>1751500</v>
      </c>
      <c r="G22" s="192">
        <f t="shared" si="1"/>
        <v>0.9229232086782758</v>
      </c>
      <c r="H22" s="195">
        <f>B22/VLOOKUP($A22,НаселГлавы!$A$1:$B$29,2,0)*10000</f>
        <v>13.978494623655914</v>
      </c>
      <c r="I22" s="196">
        <f>C22/VLOOKUP($A22,НаселГлавы!$A$1:$B$29,2,0)*10000</f>
        <v>10.215053763440862</v>
      </c>
      <c r="J22" s="192">
        <f t="shared" si="2"/>
        <v>0.3684210526315786</v>
      </c>
      <c r="K22" s="197">
        <f t="shared" si="6"/>
        <v>64769.230769230766</v>
      </c>
      <c r="L22" s="194">
        <f t="shared" si="6"/>
        <v>46092.10526315789</v>
      </c>
      <c r="M22" s="192">
        <f t="shared" si="3"/>
        <v>0.4052131140341245</v>
      </c>
      <c r="N22" s="195">
        <f>E22/VLOOKUP($A22,НаселГлавы!$A$1:$B$29,2,0)</f>
        <v>90.53763440860214</v>
      </c>
      <c r="O22" s="196">
        <f>F22/VLOOKUP($A22,НаселГлавы!$A$1:$B$29,2,0)</f>
        <v>47.083333333333336</v>
      </c>
      <c r="P22" s="192">
        <f t="shared" si="4"/>
        <v>0.9229232086782758</v>
      </c>
      <c r="Q22" s="190">
        <f>VLOOKUP($A22,Grig1!$A$6:$P$58,8,0)</f>
        <v>6</v>
      </c>
      <c r="R22" s="200">
        <f>VLOOKUP($A22,Grig1!$A$6:$P$58,9,0)</f>
        <v>4</v>
      </c>
      <c r="S22" s="192">
        <f t="shared" si="5"/>
        <v>0.5</v>
      </c>
    </row>
    <row r="23" spans="1:19" ht="18.75">
      <c r="A23" s="201" t="str">
        <f>Grig1!A$44</f>
        <v>Чебоксарский</v>
      </c>
      <c r="B23" s="190">
        <f>VLOOKUP($A23,Grig1!$A$6:$P$58,2,0)</f>
        <v>85</v>
      </c>
      <c r="C23" s="200">
        <f>VLOOKUP($A23,Grig1!$A$6:$P$58,3,0)</f>
        <v>87</v>
      </c>
      <c r="D23" s="192">
        <f t="shared" si="0"/>
        <v>-0.022988505747126454</v>
      </c>
      <c r="E23" s="193">
        <f>VLOOKUP($A23,Grig1!$A$6:$P$58,5,0)</f>
        <v>4954238</v>
      </c>
      <c r="F23" s="194">
        <f>VLOOKUP($A23,Grig1!$A$6:$P$58,6,0)</f>
        <v>4818131</v>
      </c>
      <c r="G23" s="192">
        <f t="shared" si="1"/>
        <v>0.028248920587671904</v>
      </c>
      <c r="H23" s="195">
        <f>B23/VLOOKUP($A23,НаселГлавы!$A$1:$B$29,2,0)*10000</f>
        <v>14.680483592400691</v>
      </c>
      <c r="I23" s="196">
        <f>C23/VLOOKUP($A23,НаселГлавы!$A$1:$B$29,2,0)*10000</f>
        <v>15.025906735751295</v>
      </c>
      <c r="J23" s="192">
        <f t="shared" si="2"/>
        <v>-0.02298850574712631</v>
      </c>
      <c r="K23" s="197">
        <f t="shared" si="6"/>
        <v>58285.15294117647</v>
      </c>
      <c r="L23" s="194">
        <f t="shared" si="6"/>
        <v>55380.816091954024</v>
      </c>
      <c r="M23" s="192">
        <f t="shared" si="3"/>
        <v>0.052443012836793625</v>
      </c>
      <c r="N23" s="195">
        <f>E23/VLOOKUP($A23,НаселГлавы!$A$1:$B$29,2,0)</f>
        <v>85.5654231433506</v>
      </c>
      <c r="O23" s="196">
        <f>F23/VLOOKUP($A23,НаселГлавы!$A$1:$B$29,2,0)</f>
        <v>83.21469775474957</v>
      </c>
      <c r="P23" s="192">
        <f t="shared" si="4"/>
        <v>0.028248920587671904</v>
      </c>
      <c r="Q23" s="190">
        <f>VLOOKUP($A23,Grig1!$A$6:$P$58,8,0)</f>
        <v>5</v>
      </c>
      <c r="R23" s="200">
        <f>VLOOKUP($A23,Grig1!$A$6:$P$58,9,0)</f>
        <v>8</v>
      </c>
      <c r="S23" s="192">
        <f t="shared" si="5"/>
        <v>-0.375</v>
      </c>
    </row>
    <row r="24" spans="1:19" ht="18.75">
      <c r="A24" s="201" t="str">
        <f>Grig1!A$46</f>
        <v>Шемуршинский</v>
      </c>
      <c r="B24" s="190">
        <f>VLOOKUP($A24,Grig1!$A$6:$P$58,2,0)</f>
        <v>14</v>
      </c>
      <c r="C24" s="200">
        <f>VLOOKUP($A24,Grig1!$A$6:$P$58,3,0)</f>
        <v>10</v>
      </c>
      <c r="D24" s="192">
        <f t="shared" si="0"/>
        <v>0.4</v>
      </c>
      <c r="E24" s="193">
        <f>VLOOKUP($A24,Grig1!$A$6:$P$58,5,0)</f>
        <v>1029610</v>
      </c>
      <c r="F24" s="194">
        <f>VLOOKUP($A24,Grig1!$A$6:$P$58,6,0)</f>
        <v>791000</v>
      </c>
      <c r="G24" s="192">
        <f t="shared" si="1"/>
        <v>0.3016561314791403</v>
      </c>
      <c r="H24" s="195">
        <f>B24/VLOOKUP($A24,НаселГлавы!$A$1:$B$29,2,0)*10000</f>
        <v>8.092485549132949</v>
      </c>
      <c r="I24" s="196">
        <f>C24/VLOOKUP($A24,НаселГлавы!$A$1:$B$29,2,0)*10000</f>
        <v>5.780346820809249</v>
      </c>
      <c r="J24" s="192">
        <f t="shared" si="2"/>
        <v>0.4000000000000003</v>
      </c>
      <c r="K24" s="197">
        <f t="shared" si="6"/>
        <v>73543.57142857143</v>
      </c>
      <c r="L24" s="194">
        <f t="shared" si="6"/>
        <v>79100</v>
      </c>
      <c r="M24" s="192">
        <f t="shared" si="3"/>
        <v>-0.07024562037204247</v>
      </c>
      <c r="N24" s="195">
        <f>E24/VLOOKUP($A24,НаселГлавы!$A$1:$B$29,2,0)</f>
        <v>59.515028901734105</v>
      </c>
      <c r="O24" s="196">
        <f>F24/VLOOKUP($A24,НаселГлавы!$A$1:$B$29,2,0)</f>
        <v>45.72254335260116</v>
      </c>
      <c r="P24" s="192">
        <f t="shared" si="4"/>
        <v>0.3016561314791403</v>
      </c>
      <c r="Q24" s="190">
        <f>VLOOKUP($A24,Grig1!$A$6:$P$58,8,0)</f>
        <v>0</v>
      </c>
      <c r="R24" s="200">
        <f>VLOOKUP($A24,Grig1!$A$6:$P$58,9,0)</f>
        <v>1</v>
      </c>
      <c r="S24" s="192">
        <f t="shared" si="5"/>
        <v>-1</v>
      </c>
    </row>
    <row r="25" spans="1:19" ht="18.75">
      <c r="A25" s="201" t="str">
        <f>Grig1!A$48</f>
        <v>Шумерлинский</v>
      </c>
      <c r="B25" s="190">
        <f>VLOOKUP($A25,Grig1!$A$6:$P$58,2,0)-VLOOKUP($A26,Grig1!$A$6:$P$58,2,0)</f>
        <v>27</v>
      </c>
      <c r="C25" s="200">
        <f>VLOOKUP($A25,Grig1!$A$6:$P$58,3,0)-VLOOKUP($A26,Grig1!$A$6:$P$58,3,0)</f>
        <v>55</v>
      </c>
      <c r="D25" s="192">
        <f t="shared" si="0"/>
        <v>-0.509090909090909</v>
      </c>
      <c r="E25" s="193">
        <f>VLOOKUP($A25,Grig1!$A$6:$P$58,5,0)-VLOOKUP($A26,Grig1!$A$6:$P$58,5,0)</f>
        <v>3230400</v>
      </c>
      <c r="F25" s="194">
        <f>VLOOKUP($A25,Grig1!$A$6:$P$58,6,0)-VLOOKUP($A26,Grig1!$A$6:$P$58,6,0)</f>
        <v>2810131</v>
      </c>
      <c r="G25" s="192">
        <f t="shared" si="1"/>
        <v>0.14955494957352528</v>
      </c>
      <c r="H25" s="195">
        <f>B25/VLOOKUP($A25,НаселГлавы!$A$1:$B$29,2,0)*10000</f>
        <v>12.676056338028168</v>
      </c>
      <c r="I25" s="196">
        <f>C25/VLOOKUP($A25,НаселГлавы!$A$1:$B$29,2,0)*10000</f>
        <v>25.821596244131456</v>
      </c>
      <c r="J25" s="192">
        <f t="shared" si="2"/>
        <v>-0.5090909090909091</v>
      </c>
      <c r="K25" s="197">
        <f t="shared" si="6"/>
        <v>119644.44444444444</v>
      </c>
      <c r="L25" s="194">
        <f t="shared" si="6"/>
        <v>51093.29090909091</v>
      </c>
      <c r="M25" s="192">
        <f t="shared" si="3"/>
        <v>1.3416860083905144</v>
      </c>
      <c r="N25" s="195">
        <f>E25/VLOOKUP($A25,НаселГлавы!$A$1:$B$29,2,0)</f>
        <v>151.66197183098592</v>
      </c>
      <c r="O25" s="196">
        <f>F25/VLOOKUP($A25,НаселГлавы!$A$1:$B$29,2,0)</f>
        <v>131.93103286384977</v>
      </c>
      <c r="P25" s="192">
        <f t="shared" si="4"/>
        <v>0.14955494957352514</v>
      </c>
      <c r="Q25" s="190">
        <f>VLOOKUP($A25,Grig1!$A$6:$P$58,8,0)-Q26</f>
        <v>3</v>
      </c>
      <c r="R25" s="200">
        <f>VLOOKUP($A25,Grig1!$A$6:$P$58,9,0)-R26</f>
        <v>8</v>
      </c>
      <c r="S25" s="192">
        <f t="shared" si="5"/>
        <v>-0.625</v>
      </c>
    </row>
    <row r="26" spans="1:19" ht="18.75">
      <c r="A26" s="201" t="s">
        <v>53</v>
      </c>
      <c r="B26" s="190">
        <f>VLOOKUP($A26,Grig1!$A$6:$P$58,2,0)</f>
        <v>17</v>
      </c>
      <c r="C26" s="191">
        <f>VLOOKUP($A26,Grig1!$A$6:$P$58,3,0)</f>
        <v>2</v>
      </c>
      <c r="D26" s="192">
        <f t="shared" si="0"/>
        <v>7.5</v>
      </c>
      <c r="E26" s="193">
        <f>VLOOKUP($A26,Grig1!$A$6:$P$58,5,0)</f>
        <v>0</v>
      </c>
      <c r="F26" s="194">
        <f>VLOOKUP($A26,Grig1!$A$6:$P$58,6,0)</f>
        <v>0</v>
      </c>
      <c r="G26" s="192" t="str">
        <f t="shared" si="1"/>
        <v>--</v>
      </c>
      <c r="H26" s="195">
        <f>B26/VLOOKUP($A26,НаселГлавы!$A$1:$B$29,2,0)*10000</f>
        <v>5.089820359281438</v>
      </c>
      <c r="I26" s="196">
        <f>C26/VLOOKUP($A26,НаселГлавы!$A$1:$B$29,2,0)*10000</f>
        <v>0.5988023952095808</v>
      </c>
      <c r="J26" s="181">
        <f t="shared" si="2"/>
        <v>7.500000000000003</v>
      </c>
      <c r="K26" s="197">
        <f t="shared" si="6"/>
        <v>0</v>
      </c>
      <c r="L26" s="194">
        <f t="shared" si="6"/>
        <v>0</v>
      </c>
      <c r="M26" s="192" t="str">
        <f t="shared" si="3"/>
        <v>--</v>
      </c>
      <c r="N26" s="195">
        <f>E26/VLOOKUP($A26,НаселГлавы!$A$1:$B$29,2,0)</f>
        <v>0</v>
      </c>
      <c r="O26" s="196">
        <f>F26/VLOOKUP($A26,НаселГлавы!$A$1:$B$29,2,0)</f>
        <v>0</v>
      </c>
      <c r="P26" s="181" t="str">
        <f t="shared" si="4"/>
        <v>--</v>
      </c>
      <c r="Q26" s="190">
        <f>VLOOKUP($A26,Grig1!$A$6:$P$58,8,0)</f>
        <v>0</v>
      </c>
      <c r="R26" s="200">
        <f>VLOOKUP($A26,Grig1!$A$6:$P$58,9,0)</f>
        <v>0</v>
      </c>
      <c r="S26" s="192" t="str">
        <f t="shared" si="5"/>
        <v>--</v>
      </c>
    </row>
    <row r="27" spans="1:19" ht="18.75">
      <c r="A27" s="201" t="str">
        <f>Grig1!A$50</f>
        <v>Ядринский</v>
      </c>
      <c r="B27" s="190">
        <f>VLOOKUP($A27,Grig1!$A$6:$P$58,2,0)</f>
        <v>39</v>
      </c>
      <c r="C27" s="200">
        <f>VLOOKUP($A27,Grig1!$A$6:$P$58,3,0)</f>
        <v>46</v>
      </c>
      <c r="D27" s="192">
        <f t="shared" si="0"/>
        <v>-0.15217391304347827</v>
      </c>
      <c r="E27" s="193">
        <f>VLOOKUP($A27,Grig1!$A$6:$P$58,5,0)</f>
        <v>1902500</v>
      </c>
      <c r="F27" s="194">
        <f>VLOOKUP($A27,Grig1!$A$6:$P$58,6,0)</f>
        <v>2589700</v>
      </c>
      <c r="G27" s="192">
        <f t="shared" si="1"/>
        <v>-0.2653589218828435</v>
      </c>
      <c r="H27" s="195">
        <f>B27/VLOOKUP($A27,НаселГлавы!$A$1:$B$29,2,0)*10000</f>
        <v>10.743801652892563</v>
      </c>
      <c r="I27" s="196">
        <f>C27/VLOOKUP($A27,НаселГлавы!$A$1:$B$29,2,0)*10000</f>
        <v>12.672176308539944</v>
      </c>
      <c r="J27" s="192">
        <f t="shared" si="2"/>
        <v>-0.15217391304347827</v>
      </c>
      <c r="K27" s="197">
        <f t="shared" si="6"/>
        <v>48782.05128205128</v>
      </c>
      <c r="L27" s="194">
        <f t="shared" si="6"/>
        <v>56297.82608695652</v>
      </c>
      <c r="M27" s="192">
        <f t="shared" si="3"/>
        <v>-0.13350026683617444</v>
      </c>
      <c r="N27" s="195">
        <f>E27/VLOOKUP($A27,НаселГлавы!$A$1:$B$29,2,0)</f>
        <v>52.41046831955923</v>
      </c>
      <c r="O27" s="196">
        <f>F27/VLOOKUP($A27,НаселГлавы!$A$1:$B$29,2,0)</f>
        <v>71.34159779614325</v>
      </c>
      <c r="P27" s="192">
        <f t="shared" si="4"/>
        <v>-0.2653589218828435</v>
      </c>
      <c r="Q27" s="190">
        <f>VLOOKUP($A27,Grig1!$A$6:$P$58,8,0)</f>
        <v>2</v>
      </c>
      <c r="R27" s="200">
        <f>VLOOKUP($A27,Grig1!$A$6:$P$58,9,0)</f>
        <v>5</v>
      </c>
      <c r="S27" s="192">
        <f t="shared" si="5"/>
        <v>-0.6</v>
      </c>
    </row>
    <row r="28" spans="1:19" ht="18.75">
      <c r="A28" s="201" t="str">
        <f>Grig1!A$52</f>
        <v>Яльчикский</v>
      </c>
      <c r="B28" s="190">
        <f>VLOOKUP($A28,Grig1!$A$6:$P$58,2,0)</f>
        <v>21</v>
      </c>
      <c r="C28" s="200">
        <f>VLOOKUP($A28,Grig1!$A$6:$P$58,3,0)</f>
        <v>18</v>
      </c>
      <c r="D28" s="192">
        <f t="shared" si="0"/>
        <v>0.1666666666666667</v>
      </c>
      <c r="E28" s="193">
        <f>VLOOKUP($A28,Grig1!$A$6:$P$58,5,0)</f>
        <v>802370</v>
      </c>
      <c r="F28" s="194">
        <f>VLOOKUP($A28,Grig1!$A$6:$P$58,6,0)</f>
        <v>697000</v>
      </c>
      <c r="G28" s="192">
        <f t="shared" si="1"/>
        <v>0.15117647058823536</v>
      </c>
      <c r="H28" s="195">
        <f>B28/VLOOKUP($A28,НаселГлавы!$A$1:$B$29,2,0)*10000</f>
        <v>7.954545454545455</v>
      </c>
      <c r="I28" s="196">
        <f>C28/VLOOKUP($A28,НаселГлавы!$A$1:$B$29,2,0)*10000</f>
        <v>6.818181818181818</v>
      </c>
      <c r="J28" s="192">
        <f t="shared" si="2"/>
        <v>0.1666666666666667</v>
      </c>
      <c r="K28" s="197">
        <f t="shared" si="6"/>
        <v>38208.09523809524</v>
      </c>
      <c r="L28" s="198" t="s">
        <v>143</v>
      </c>
      <c r="M28" s="199" t="s">
        <v>143</v>
      </c>
      <c r="N28" s="195">
        <f>E28/VLOOKUP($A28,НаселГлавы!$A$1:$B$29,2,0)</f>
        <v>30.392803030303032</v>
      </c>
      <c r="O28" s="196">
        <f>F28/VLOOKUP($A28,НаселГлавы!$A$1:$B$29,2,0)</f>
        <v>26.401515151515152</v>
      </c>
      <c r="P28" s="192">
        <f t="shared" si="4"/>
        <v>0.15117647058823522</v>
      </c>
      <c r="Q28" s="190">
        <f>VLOOKUP($A28,Grig1!$A$6:$P$58,8,0)</f>
        <v>0</v>
      </c>
      <c r="R28" s="200">
        <f>VLOOKUP($A28,Grig1!$A$6:$P$58,9,0)</f>
        <v>1</v>
      </c>
      <c r="S28" s="192">
        <f t="shared" si="5"/>
        <v>-1</v>
      </c>
    </row>
    <row r="29" spans="1:19" ht="18.75">
      <c r="A29" s="201" t="str">
        <f>Grig1!A$54</f>
        <v>Янтиковский</v>
      </c>
      <c r="B29" s="190">
        <f>VLOOKUP($A29,Grig1!$A$6:$P$58,2,0)</f>
        <v>17</v>
      </c>
      <c r="C29" s="200">
        <f>VLOOKUP($A29,Grig1!$A$6:$P$58,3,0)</f>
        <v>19</v>
      </c>
      <c r="D29" s="192">
        <f t="shared" si="0"/>
        <v>-0.10526315789473685</v>
      </c>
      <c r="E29" s="193">
        <f>VLOOKUP($A29,Grig1!$A$6:$P$58,5,0)</f>
        <v>748500</v>
      </c>
      <c r="F29" s="194">
        <f>VLOOKUP($A29,Grig1!$A$6:$P$58,6,0)</f>
        <v>1249000</v>
      </c>
      <c r="G29" s="192">
        <f t="shared" si="1"/>
        <v>-0.400720576461169</v>
      </c>
      <c r="H29" s="195">
        <f>B29/VLOOKUP($A29,НаселГлавы!$A$1:$B$29,2,0)*10000</f>
        <v>8.762886597938145</v>
      </c>
      <c r="I29" s="196">
        <f>C29/VLOOKUP($A29,НаселГлавы!$A$1:$B$29,2,0)*10000</f>
        <v>9.79381443298969</v>
      </c>
      <c r="J29" s="192">
        <f t="shared" si="2"/>
        <v>-0.10526315789473671</v>
      </c>
      <c r="K29" s="197">
        <f t="shared" si="6"/>
        <v>44029.41176470588</v>
      </c>
      <c r="L29" s="194">
        <f t="shared" si="6"/>
        <v>65736.84210526316</v>
      </c>
      <c r="M29" s="192">
        <f t="shared" si="3"/>
        <v>-0.33021711486836536</v>
      </c>
      <c r="N29" s="195">
        <f>E29/VLOOKUP($A29,НаселГлавы!$A$1:$B$29,2,0)</f>
        <v>38.58247422680412</v>
      </c>
      <c r="O29" s="196">
        <f>F29/VLOOKUP($A29,НаселГлавы!$A$1:$B$29,2,0)</f>
        <v>64.38144329896907</v>
      </c>
      <c r="P29" s="192">
        <f t="shared" si="4"/>
        <v>-0.400720576461169</v>
      </c>
      <c r="Q29" s="190">
        <f>VLOOKUP($A29,Grig1!$A$6:$P$58,8,0)</f>
        <v>2</v>
      </c>
      <c r="R29" s="200">
        <f>VLOOKUP($A29,Grig1!$A$6:$P$58,9,0)</f>
        <v>0</v>
      </c>
      <c r="S29" s="192" t="str">
        <f t="shared" si="5"/>
        <v>--</v>
      </c>
    </row>
    <row r="30" spans="1:19" ht="18.75">
      <c r="A30" s="201" t="str">
        <f>Grig1!A$7</f>
        <v>Ленинский</v>
      </c>
      <c r="B30" s="190">
        <f>VLOOKUP($A30,Grig1!$A$6:$P$58,2,0)</f>
        <v>62</v>
      </c>
      <c r="C30" s="200">
        <f>VLOOKUP($A30,Grig1!$A$6:$P$58,3,0)</f>
        <v>58</v>
      </c>
      <c r="D30" s="192">
        <f t="shared" si="0"/>
        <v>0.06896551724137936</v>
      </c>
      <c r="E30" s="193">
        <f>VLOOKUP($A30,Grig1!$A$6:$P$58,5,0)</f>
        <v>7965575</v>
      </c>
      <c r="F30" s="194">
        <f>VLOOKUP($A30,Grig1!$A$6:$P$58,6,0)</f>
        <v>4055278</v>
      </c>
      <c r="G30" s="192">
        <f t="shared" si="1"/>
        <v>0.964248813521539</v>
      </c>
      <c r="H30" s="195">
        <f>B30/VLOOKUP($A30,НаселГлавы!$A$1:$B$29,2,0)*10000</f>
        <v>4.8062015503875966</v>
      </c>
      <c r="I30" s="196">
        <f>C30/VLOOKUP($A30,НаселГлавы!$A$1:$B$29,2,0)*10000</f>
        <v>4.496124031007752</v>
      </c>
      <c r="J30" s="192">
        <f t="shared" si="2"/>
        <v>0.06896551724137921</v>
      </c>
      <c r="K30" s="197">
        <f t="shared" si="6"/>
        <v>128477.01612903226</v>
      </c>
      <c r="L30" s="194">
        <f t="shared" si="6"/>
        <v>69918.58620689655</v>
      </c>
      <c r="M30" s="192">
        <f t="shared" si="3"/>
        <v>0.8375230836169237</v>
      </c>
      <c r="N30" s="195">
        <f>E30/VLOOKUP($A30,НаселГлавы!$A$1:$B$29,2,0)</f>
        <v>61.748643410852715</v>
      </c>
      <c r="O30" s="196">
        <f>F30/VLOOKUP($A30,НаселГлавы!$A$1:$B$29,2,0)</f>
        <v>31.436263565891473</v>
      </c>
      <c r="P30" s="192">
        <f t="shared" si="4"/>
        <v>0.9642488135215393</v>
      </c>
      <c r="Q30" s="190">
        <f>VLOOKUP($A30,Grig1!$A$6:$P$58,8,0)</f>
        <v>5</v>
      </c>
      <c r="R30" s="200">
        <f>VLOOKUP($A30,Grig1!$A$6:$P$58,9,0)</f>
        <v>3</v>
      </c>
      <c r="S30" s="192">
        <f t="shared" si="5"/>
        <v>0.6666666666666665</v>
      </c>
    </row>
    <row r="31" spans="1:19" ht="18.75">
      <c r="A31" s="201" t="str">
        <f>Grig1!A$8</f>
        <v>Московский</v>
      </c>
      <c r="B31" s="190">
        <f>VLOOKUP($A31,Grig1!$A$6:$P$58,2,0)</f>
        <v>76</v>
      </c>
      <c r="C31" s="200">
        <f>VLOOKUP($A31,Grig1!$A$6:$P$58,3,0)</f>
        <v>84</v>
      </c>
      <c r="D31" s="192">
        <f t="shared" si="0"/>
        <v>-0.09523809523809518</v>
      </c>
      <c r="E31" s="193">
        <f>VLOOKUP($A31,Grig1!$A$6:$P$58,5,0)</f>
        <v>4174505</v>
      </c>
      <c r="F31" s="194">
        <f>VLOOKUP($A31,Grig1!$A$6:$P$58,6,0)</f>
        <v>5800179</v>
      </c>
      <c r="G31" s="192">
        <f t="shared" si="1"/>
        <v>-0.2802799706698707</v>
      </c>
      <c r="H31" s="195">
        <f>B31/VLOOKUP($A31,НаселГлавы!$A$1:$B$29,2,0)*10000</f>
        <v>4.705882352941177</v>
      </c>
      <c r="I31" s="196">
        <f>C31/VLOOKUP($A31,НаселГлавы!$A$1:$B$29,2,0)*10000</f>
        <v>5.201238390092879</v>
      </c>
      <c r="J31" s="192">
        <f t="shared" si="2"/>
        <v>-0.09523809523809518</v>
      </c>
      <c r="K31" s="197">
        <f t="shared" si="6"/>
        <v>54927.69736842105</v>
      </c>
      <c r="L31" s="194">
        <f t="shared" si="6"/>
        <v>69049.75</v>
      </c>
      <c r="M31" s="192">
        <f t="shared" si="3"/>
        <v>-0.20451996758248867</v>
      </c>
      <c r="N31" s="195">
        <f>E31/VLOOKUP($A31,НаселГлавы!$A$1:$B$29,2,0)</f>
        <v>25.848328173374615</v>
      </c>
      <c r="O31" s="196">
        <f>F31/VLOOKUP($A31,НаселГлавы!$A$1:$B$29,2,0)</f>
        <v>35.91442105263158</v>
      </c>
      <c r="P31" s="192">
        <f t="shared" si="4"/>
        <v>-0.2802799706698707</v>
      </c>
      <c r="Q31" s="190">
        <f>VLOOKUP($A31,Grig1!$A$6:$P$58,8,0)</f>
        <v>9</v>
      </c>
      <c r="R31" s="200">
        <f>VLOOKUP($A31,Grig1!$A$6:$P$58,9,0)</f>
        <v>8</v>
      </c>
      <c r="S31" s="192">
        <f t="shared" si="5"/>
        <v>0.125</v>
      </c>
    </row>
    <row r="32" spans="1:19" ht="18.75">
      <c r="A32" s="203" t="str">
        <f>Grig1!A$9</f>
        <v>Калининский</v>
      </c>
      <c r="B32" s="204">
        <f>VLOOKUP($A32,Grig1!$A$6:$P$58,2,0)</f>
        <v>90</v>
      </c>
      <c r="C32" s="205">
        <f>VLOOKUP($A32,Grig1!$A$6:$P$58,3,0)</f>
        <v>92</v>
      </c>
      <c r="D32" s="206">
        <f t="shared" si="0"/>
        <v>-0.021739130434782653</v>
      </c>
      <c r="E32" s="207">
        <f>VLOOKUP($A32,Grig1!$A$6:$P$58,5,0)</f>
        <v>7582326</v>
      </c>
      <c r="F32" s="208">
        <f>VLOOKUP($A32,Grig1!$A$6:$P$58,6,0)</f>
        <v>4153100</v>
      </c>
      <c r="G32" s="206">
        <f t="shared" si="1"/>
        <v>0.825702728082637</v>
      </c>
      <c r="H32" s="209">
        <f>B32/VLOOKUP($A32,НаселГлавы!$A$1:$B$29,2,0)*10000</f>
        <v>5.58659217877095</v>
      </c>
      <c r="I32" s="210">
        <f>C32/VLOOKUP($A32,НаселГлавы!$A$1:$B$29,2,0)*10000</f>
        <v>5.710738671632527</v>
      </c>
      <c r="J32" s="206">
        <f t="shared" si="2"/>
        <v>-0.021739130434782653</v>
      </c>
      <c r="K32" s="211">
        <f t="shared" si="6"/>
        <v>84248.06666666667</v>
      </c>
      <c r="L32" s="208">
        <f t="shared" si="6"/>
        <v>45142.391304347824</v>
      </c>
      <c r="M32" s="206">
        <f t="shared" si="3"/>
        <v>0.8662738998178068</v>
      </c>
      <c r="N32" s="209">
        <f>E32/VLOOKUP($A32,НаселГлавы!$A$1:$B$29,2,0)</f>
        <v>47.06595903165736</v>
      </c>
      <c r="O32" s="210">
        <f>F32/VLOOKUP($A32,НаселГлавы!$A$1:$B$29,2,0)</f>
        <v>25.779639975170703</v>
      </c>
      <c r="P32" s="206">
        <f t="shared" si="4"/>
        <v>0.825702728082637</v>
      </c>
      <c r="Q32" s="204">
        <f>VLOOKUP($A32,Grig1!$A$6:$P$58,8,0)</f>
        <v>7</v>
      </c>
      <c r="R32" s="205">
        <f>VLOOKUP($A32,Grig1!$A$6:$P$58,9,0)</f>
        <v>5</v>
      </c>
      <c r="S32" s="206">
        <f t="shared" si="5"/>
        <v>0.4</v>
      </c>
    </row>
    <row r="33" spans="1:19" ht="18.75">
      <c r="A33" s="212" t="str">
        <f>Grig1!A$58</f>
        <v>По республике</v>
      </c>
      <c r="B33" s="213">
        <f>SUM(B5:B32)</f>
        <v>1037</v>
      </c>
      <c r="C33" s="214">
        <f>SUM(C5:C32)</f>
        <v>1087</v>
      </c>
      <c r="D33" s="215">
        <f t="shared" si="0"/>
        <v>-0.04599816007359706</v>
      </c>
      <c r="E33" s="216">
        <f>SUM(E5:E32)</f>
        <v>75244277</v>
      </c>
      <c r="F33" s="217">
        <f>SUM(F5:F32)</f>
        <v>63029867</v>
      </c>
      <c r="G33" s="215">
        <f t="shared" si="1"/>
        <v>0.1937876530819905</v>
      </c>
      <c r="H33" s="218">
        <f>B33/VLOOKUP($A33,НаселГлавы!$A$1:$B$29,2,0)*10000</f>
        <v>7.619957381144831</v>
      </c>
      <c r="I33" s="219">
        <f>C33/VLOOKUP($A33,НаселГлавы!$A$1:$B$29,2,0)*10000</f>
        <v>7.987361305018737</v>
      </c>
      <c r="J33" s="215">
        <f t="shared" si="2"/>
        <v>-0.04599816007359706</v>
      </c>
      <c r="K33" s="220">
        <f t="shared" si="6"/>
        <v>72559.57280617165</v>
      </c>
      <c r="L33" s="217">
        <f t="shared" si="6"/>
        <v>57985.158233670656</v>
      </c>
      <c r="M33" s="215">
        <f t="shared" si="3"/>
        <v>0.2513473277725397</v>
      </c>
      <c r="N33" s="218">
        <f>E33/VLOOKUP($A33,НаселГлавы!$A$1:$B$29,2,0)</f>
        <v>55.290085237710336</v>
      </c>
      <c r="O33" s="219">
        <f>F33/VLOOKUP($A33,НаселГлавы!$A$1:$B$29,2,0)</f>
        <v>46.31484091410096</v>
      </c>
      <c r="P33" s="215">
        <f t="shared" si="4"/>
        <v>0.1937876530819905</v>
      </c>
      <c r="Q33" s="213">
        <f>VLOOKUP($A33,Grig1!$A$6:$P$58,8,0)</f>
        <v>92</v>
      </c>
      <c r="R33" s="214">
        <f>VLOOKUP($A33,Grig1!$A$6:$P$58,9,0)</f>
        <v>102</v>
      </c>
      <c r="S33" s="215">
        <f t="shared" si="5"/>
        <v>-0.09803921568627444</v>
      </c>
    </row>
  </sheetData>
  <sheetProtection selectLockedCells="1" selectUnlockedCells="1"/>
  <mergeCells count="8">
    <mergeCell ref="A1:S1"/>
    <mergeCell ref="A2:S2"/>
    <mergeCell ref="B3:D3"/>
    <mergeCell ref="E3:G3"/>
    <mergeCell ref="H3:J3"/>
    <mergeCell ref="K3:M3"/>
    <mergeCell ref="N3:P3"/>
    <mergeCell ref="Q3:S3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Normal="70" zoomScaleSheetLayoutView="100" workbookViewId="0" topLeftCell="A13">
      <selection activeCell="E21" sqref="E21"/>
    </sheetView>
  </sheetViews>
  <sheetFormatPr defaultColWidth="9.140625" defaultRowHeight="12.75"/>
  <cols>
    <col min="1" max="1" width="31.28125" style="170" customWidth="1"/>
    <col min="2" max="2" width="8.00390625" style="170" customWidth="1"/>
    <col min="3" max="3" width="7.57421875" style="170" customWidth="1"/>
    <col min="4" max="4" width="10.57421875" style="170" customWidth="1"/>
    <col min="5" max="6" width="15.57421875" style="170" customWidth="1"/>
    <col min="7" max="7" width="12.28125" style="170" customWidth="1"/>
    <col min="8" max="8" width="10.00390625" style="170" customWidth="1"/>
    <col min="9" max="9" width="8.28125" style="170" customWidth="1"/>
    <col min="10" max="10" width="10.57421875" style="170" customWidth="1"/>
    <col min="11" max="12" width="11.8515625" style="170" customWidth="1"/>
    <col min="13" max="13" width="11.140625" style="170" customWidth="1"/>
    <col min="14" max="14" width="10.140625" style="170" customWidth="1"/>
    <col min="15" max="15" width="10.421875" style="170" customWidth="1"/>
    <col min="16" max="16" width="10.8515625" style="170" customWidth="1"/>
    <col min="17" max="18" width="7.57421875" style="170" customWidth="1"/>
    <col min="19" max="19" width="10.421875" style="170" customWidth="1"/>
    <col min="20" max="21" width="7.57421875" style="170" customWidth="1"/>
    <col min="22" max="22" width="10.421875" style="170" customWidth="1"/>
    <col min="23" max="16384" width="17.8515625" style="170" customWidth="1"/>
  </cols>
  <sheetData>
    <row r="1" spans="1:19" ht="20.25">
      <c r="A1" s="576" t="s">
        <v>136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</row>
    <row r="2" spans="1:19" ht="20.25">
      <c r="A2" s="576" t="str">
        <f>Grig1!A2</f>
        <v> Сведения по пожарам в Чувашской Республике с 00ч.00мин. 01.01.2012г. по 00ч.00мин. 20.12.2012г.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22" ht="44.25" customHeight="1">
      <c r="A3" s="171" t="s">
        <v>2</v>
      </c>
      <c r="B3" s="577" t="s">
        <v>137</v>
      </c>
      <c r="C3" s="577"/>
      <c r="D3" s="577"/>
      <c r="E3" s="578" t="s">
        <v>138</v>
      </c>
      <c r="F3" s="578"/>
      <c r="G3" s="578"/>
      <c r="H3" s="578" t="s">
        <v>139</v>
      </c>
      <c r="I3" s="578"/>
      <c r="J3" s="578"/>
      <c r="K3" s="578" t="s">
        <v>140</v>
      </c>
      <c r="L3" s="578"/>
      <c r="M3" s="578"/>
      <c r="N3" s="579" t="s">
        <v>141</v>
      </c>
      <c r="O3" s="579"/>
      <c r="P3" s="579"/>
      <c r="Q3" s="579" t="s">
        <v>142</v>
      </c>
      <c r="R3" s="579"/>
      <c r="S3" s="579"/>
      <c r="T3" s="578" t="s">
        <v>144</v>
      </c>
      <c r="U3" s="578"/>
      <c r="V3" s="578"/>
    </row>
    <row r="4" spans="1:22" ht="18">
      <c r="A4" s="221"/>
      <c r="B4" s="173">
        <f>Grig1!B5</f>
        <v>2012</v>
      </c>
      <c r="C4" s="222">
        <f>Grig1!C5</f>
        <v>2011</v>
      </c>
      <c r="D4" s="223" t="s">
        <v>9</v>
      </c>
      <c r="E4" s="176">
        <f>B4</f>
        <v>2012</v>
      </c>
      <c r="F4" s="173">
        <f>C4</f>
        <v>2011</v>
      </c>
      <c r="G4" s="223" t="s">
        <v>9</v>
      </c>
      <c r="H4" s="176">
        <f>B4</f>
        <v>2012</v>
      </c>
      <c r="I4" s="173">
        <f>C4</f>
        <v>2011</v>
      </c>
      <c r="J4" s="223" t="s">
        <v>9</v>
      </c>
      <c r="K4" s="176">
        <f>B4</f>
        <v>2012</v>
      </c>
      <c r="L4" s="173">
        <f>C4</f>
        <v>2011</v>
      </c>
      <c r="M4" s="223" t="s">
        <v>9</v>
      </c>
      <c r="N4" s="176">
        <f>B4</f>
        <v>2012</v>
      </c>
      <c r="O4" s="173">
        <f>C4</f>
        <v>2011</v>
      </c>
      <c r="P4" s="223" t="s">
        <v>9</v>
      </c>
      <c r="Q4" s="176">
        <f>B4</f>
        <v>2012</v>
      </c>
      <c r="R4" s="173">
        <f>C4</f>
        <v>2011</v>
      </c>
      <c r="S4" s="223" t="s">
        <v>9</v>
      </c>
      <c r="T4" s="224">
        <v>2012</v>
      </c>
      <c r="U4" s="225">
        <v>2011</v>
      </c>
      <c r="V4" s="223" t="s">
        <v>9</v>
      </c>
    </row>
    <row r="5" spans="1:22" ht="18.75">
      <c r="A5" s="178" t="str">
        <f>Grig1!A$10</f>
        <v>Алатырский</v>
      </c>
      <c r="B5" s="179">
        <f>VLOOKUP($A5,Grig1!$A$6:$P$58,2,0)</f>
        <v>52</v>
      </c>
      <c r="C5" s="180">
        <f>VLOOKUP($A5,Grig1!$A$6:$P$58,3,0)</f>
        <v>76</v>
      </c>
      <c r="D5" s="181">
        <f aca="true" t="shared" si="0" ref="D5:D30">IF(C5=0,"--",(((B5*100)/C5)-100)/100)</f>
        <v>-0.31578947368421056</v>
      </c>
      <c r="E5" s="182">
        <f>VLOOKUP($A5,Grig1!$A$6:$P$58,5,0)</f>
        <v>4906357</v>
      </c>
      <c r="F5" s="183">
        <f>VLOOKUP($A5,Grig1!$A$6:$P$58,6,0)</f>
        <v>4388550</v>
      </c>
      <c r="G5" s="181">
        <f aca="true" t="shared" si="1" ref="G5:G30">IF(F5=0,"--",(((E5*100)/F5)-100)/100)</f>
        <v>0.1179904524273394</v>
      </c>
      <c r="H5" s="184">
        <f>B5/VLOOKUP($A5,Население!$A$1:$B$27,2,0)*10000</f>
        <v>9.598168964689814</v>
      </c>
      <c r="I5" s="185">
        <f>C5/VLOOKUP($A5,Население!$A$1:$B$27,2,0)*10000</f>
        <v>14.028093102238957</v>
      </c>
      <c r="J5" s="181">
        <f aca="true" t="shared" si="2" ref="J5:J30">IF(I5=0,"--",(((H5*100)/I5)-100)/100)</f>
        <v>-0.31578947368421056</v>
      </c>
      <c r="K5" s="182">
        <f>E5/B5</f>
        <v>94353.01923076923</v>
      </c>
      <c r="L5" s="183">
        <f>F5/C5</f>
        <v>57744.07894736842</v>
      </c>
      <c r="M5" s="181">
        <f aca="true" t="shared" si="3" ref="M5:M30">IF(L5=0,"--",(((K5*100)/L5)-100)/100)</f>
        <v>0.6339860458553424</v>
      </c>
      <c r="N5" s="184">
        <f>E5/VLOOKUP($A5,Население!$A$1:$B$27,2,0)</f>
        <v>90.56162209055503</v>
      </c>
      <c r="O5" s="185">
        <f>F5/VLOOKUP($A5,Население!$A$1:$B$27,2,0)</f>
        <v>81.00393155767208</v>
      </c>
      <c r="P5" s="181">
        <f aca="true" t="shared" si="4" ref="P5:P30">IF(O5=0,"--",(((N5*100)/O5)-100)/100)</f>
        <v>0.11799045242733924</v>
      </c>
      <c r="Q5" s="179">
        <f>VLOOKUP($A5,Grig1!$A$6:$P$58,8,0)</f>
        <v>8</v>
      </c>
      <c r="R5" s="180">
        <f>VLOOKUP($A5,Grig1!$A$6:$P$58,9,0)</f>
        <v>6</v>
      </c>
      <c r="S5" s="181">
        <f aca="true" t="shared" si="5" ref="S5:S30">IF(R5=0,"--",(((Q5*100)/R5)-100)/100)</f>
        <v>0.3333333333333334</v>
      </c>
      <c r="T5" s="184">
        <f>Q5/VLOOKUP($A5,Население!$A$1:$B$27,2,0)*10000</f>
        <v>1.476641379183048</v>
      </c>
      <c r="U5" s="185">
        <f>R5/VLOOKUP($A5,Население!$A$1:$B$27,2,0)*10000</f>
        <v>1.107481034387286</v>
      </c>
      <c r="V5" s="181">
        <f>IF(U5=0,"--",(((T5*100)/U5)-100)/100)</f>
        <v>0.33333333333333315</v>
      </c>
    </row>
    <row r="6" spans="1:22" ht="18.75">
      <c r="A6" s="201" t="str">
        <f>Grig1!A$13</f>
        <v>Аликовский</v>
      </c>
      <c r="B6" s="190">
        <f>VLOOKUP($A6,Grig1!$A$6:$P$58,2,0)</f>
        <v>23</v>
      </c>
      <c r="C6" s="200">
        <f>VLOOKUP($A6,Grig1!$A$6:$P$58,3,0)</f>
        <v>23</v>
      </c>
      <c r="D6" s="192">
        <f t="shared" si="0"/>
        <v>0</v>
      </c>
      <c r="E6" s="193">
        <f>VLOOKUP($A6,Grig1!$A$6:$P$58,5,0)</f>
        <v>662500</v>
      </c>
      <c r="F6" s="194">
        <f>VLOOKUP($A6,Grig1!$A$6:$P$58,6,0)</f>
        <v>2349782</v>
      </c>
      <c r="G6" s="192">
        <f t="shared" si="1"/>
        <v>-0.7180589518517038</v>
      </c>
      <c r="H6" s="195">
        <f>B6/VLOOKUP($A6,Население!$A$1:$B$27,2,0)*10000</f>
        <v>13.028208904497564</v>
      </c>
      <c r="I6" s="196">
        <f>C6/VLOOKUP($A6,Население!$A$1:$B$27,2,0)*10000</f>
        <v>13.028208904497564</v>
      </c>
      <c r="J6" s="192">
        <f t="shared" si="2"/>
        <v>0</v>
      </c>
      <c r="K6" s="193">
        <f aca="true" t="shared" si="6" ref="K6:K30">E6/B6</f>
        <v>28804.347826086956</v>
      </c>
      <c r="L6" s="194">
        <f aca="true" t="shared" si="7" ref="L6:L30">F6/C6</f>
        <v>102164.43478260869</v>
      </c>
      <c r="M6" s="192">
        <f t="shared" si="3"/>
        <v>-0.7180589518517035</v>
      </c>
      <c r="N6" s="195">
        <f>E6/VLOOKUP($A6,Население!$A$1:$B$27,2,0)</f>
        <v>37.526906083607116</v>
      </c>
      <c r="O6" s="196">
        <f>F6/VLOOKUP($A6,Население!$A$1:$B$27,2,0)</f>
        <v>133.10195989577434</v>
      </c>
      <c r="P6" s="192">
        <f t="shared" si="4"/>
        <v>-0.7180589518517038</v>
      </c>
      <c r="Q6" s="190">
        <f>VLOOKUP($A6,Grig1!$A$6:$P$58,8,0)</f>
        <v>1</v>
      </c>
      <c r="R6" s="200">
        <f>VLOOKUP($A6,Grig1!$A$6:$P$58,9,0)</f>
        <v>5</v>
      </c>
      <c r="S6" s="192">
        <f t="shared" si="5"/>
        <v>-0.8</v>
      </c>
      <c r="T6" s="195">
        <f>Q6/VLOOKUP($A6,Население!$A$1:$B$27,2,0)*10000</f>
        <v>0.5664438654129376</v>
      </c>
      <c r="U6" s="196">
        <f>R6/VLOOKUP($A6,Население!$A$1:$B$27,2,0)*10000</f>
        <v>2.832219327064688</v>
      </c>
      <c r="V6" s="192">
        <f aca="true" t="shared" si="8" ref="V6:V30">IF(U6=0,"--",(((T6*100)/U6)-100)/100)</f>
        <v>-0.8</v>
      </c>
    </row>
    <row r="7" spans="1:22" ht="18.75">
      <c r="A7" s="201" t="str">
        <f>Grig1!A$15</f>
        <v>Батыревский</v>
      </c>
      <c r="B7" s="190">
        <f>VLOOKUP($A7,Grig1!$A$6:$P$58,2,0)</f>
        <v>38</v>
      </c>
      <c r="C7" s="200">
        <f>VLOOKUP($A7,Grig1!$A$6:$P$58,3,0)</f>
        <v>36</v>
      </c>
      <c r="D7" s="192">
        <f t="shared" si="0"/>
        <v>0.05555555555555557</v>
      </c>
      <c r="E7" s="193">
        <f>VLOOKUP($A7,Grig1!$A$6:$P$58,5,0)</f>
        <v>1339820</v>
      </c>
      <c r="F7" s="194">
        <f>VLOOKUP($A7,Grig1!$A$6:$P$58,6,0)</f>
        <v>1882588</v>
      </c>
      <c r="G7" s="192">
        <f t="shared" si="1"/>
        <v>-0.2883094973515182</v>
      </c>
      <c r="H7" s="195">
        <f>B7/VLOOKUP($A7,Население!$A$1:$B$27,2,0)*10000</f>
        <v>10.072361968881705</v>
      </c>
      <c r="I7" s="196">
        <f>C7/VLOOKUP($A7,Население!$A$1:$B$27,2,0)*10000</f>
        <v>9.542237654730034</v>
      </c>
      <c r="J7" s="192">
        <f t="shared" si="2"/>
        <v>0.05555555555555571</v>
      </c>
      <c r="K7" s="193">
        <f t="shared" si="6"/>
        <v>35258.42105263158</v>
      </c>
      <c r="L7" s="194">
        <f t="shared" si="7"/>
        <v>52294.11111111111</v>
      </c>
      <c r="M7" s="192">
        <f t="shared" si="3"/>
        <v>-0.325766892227754</v>
      </c>
      <c r="N7" s="195">
        <f>E7/VLOOKUP($A7,Население!$A$1:$B$27,2,0)</f>
        <v>35.51355792933443</v>
      </c>
      <c r="O7" s="196">
        <f>F7/VLOOKUP($A7,Население!$A$1:$B$27,2,0)</f>
        <v>49.90028361650807</v>
      </c>
      <c r="P7" s="192">
        <f t="shared" si="4"/>
        <v>-0.28830949735151806</v>
      </c>
      <c r="Q7" s="190">
        <f>VLOOKUP($A7,Grig1!$A$6:$P$58,8,0)</f>
        <v>1</v>
      </c>
      <c r="R7" s="200">
        <f>VLOOKUP($A7,Grig1!$A$6:$P$58,9,0)</f>
        <v>0</v>
      </c>
      <c r="S7" s="192" t="str">
        <f t="shared" si="5"/>
        <v>--</v>
      </c>
      <c r="T7" s="195">
        <f>Q7/VLOOKUP($A7,Население!$A$1:$B$27,2,0)*10000</f>
        <v>0.2650621570758343</v>
      </c>
      <c r="U7" s="196">
        <f>R7/VLOOKUP($A7,Население!$A$1:$B$27,2,0)*10000</f>
        <v>0</v>
      </c>
      <c r="V7" s="192" t="str">
        <f t="shared" si="8"/>
        <v>--</v>
      </c>
    </row>
    <row r="8" spans="1:22" ht="18.75">
      <c r="A8" s="201" t="str">
        <f>Grig1!A$17</f>
        <v>Вурнарский</v>
      </c>
      <c r="B8" s="190">
        <f>VLOOKUP($A8,Grig1!$A$6:$P$58,2,0)</f>
        <v>50</v>
      </c>
      <c r="C8" s="200">
        <f>VLOOKUP($A8,Grig1!$A$6:$P$58,3,0)</f>
        <v>53</v>
      </c>
      <c r="D8" s="192">
        <f t="shared" si="0"/>
        <v>-0.05660377358490564</v>
      </c>
      <c r="E8" s="193">
        <f>VLOOKUP($A8,Grig1!$A$6:$P$58,5,0)</f>
        <v>2341227</v>
      </c>
      <c r="F8" s="194">
        <f>VLOOKUP($A8,Grig1!$A$6:$P$58,6,0)</f>
        <v>3482390</v>
      </c>
      <c r="G8" s="192">
        <f t="shared" si="1"/>
        <v>-0.3276953471610015</v>
      </c>
      <c r="H8" s="195">
        <f>B8/VLOOKUP($A8,Население!$A$1:$B$27,2,0)*10000</f>
        <v>14.382694741686803</v>
      </c>
      <c r="I8" s="196">
        <f>C8/VLOOKUP($A8,Население!$A$1:$B$27,2,0)*10000</f>
        <v>15.245656426188011</v>
      </c>
      <c r="J8" s="192">
        <f t="shared" si="2"/>
        <v>-0.05660377358490564</v>
      </c>
      <c r="K8" s="193">
        <f t="shared" si="6"/>
        <v>46824.54</v>
      </c>
      <c r="L8" s="194">
        <f t="shared" si="7"/>
        <v>65705.47169811321</v>
      </c>
      <c r="M8" s="192">
        <f t="shared" si="3"/>
        <v>-0.28735706799066163</v>
      </c>
      <c r="N8" s="195">
        <f>E8/VLOOKUP($A8,Население!$A$1:$B$27,2,0)</f>
        <v>67.34630652399034</v>
      </c>
      <c r="O8" s="196">
        <f>F8/VLOOKUP($A8,Население!$A$1:$B$27,2,0)</f>
        <v>100.17230468300541</v>
      </c>
      <c r="P8" s="192">
        <f t="shared" si="4"/>
        <v>-0.3276953471610015</v>
      </c>
      <c r="Q8" s="190">
        <f>VLOOKUP($A8,Grig1!$A$6:$P$58,8,0)</f>
        <v>2</v>
      </c>
      <c r="R8" s="200">
        <f>VLOOKUP($A8,Grig1!$A$6:$P$58,9,0)</f>
        <v>4</v>
      </c>
      <c r="S8" s="192">
        <f t="shared" si="5"/>
        <v>-0.5</v>
      </c>
      <c r="T8" s="195">
        <f>Q8/VLOOKUP($A8,Население!$A$1:$B$27,2,0)*10000</f>
        <v>0.5753077896674721</v>
      </c>
      <c r="U8" s="196">
        <f>R8/VLOOKUP($A8,Население!$A$1:$B$27,2,0)*10000</f>
        <v>1.1506155793349442</v>
      </c>
      <c r="V8" s="192">
        <f t="shared" si="8"/>
        <v>-0.5</v>
      </c>
    </row>
    <row r="9" spans="1:22" ht="18.75">
      <c r="A9" s="201" t="str">
        <f>Grig1!A$19</f>
        <v>Ибресинский</v>
      </c>
      <c r="B9" s="190">
        <f>VLOOKUP($A9,Grig1!$A$6:$P$58,2,0)</f>
        <v>34</v>
      </c>
      <c r="C9" s="200">
        <f>VLOOKUP($A9,Grig1!$A$6:$P$58,3,0)</f>
        <v>33</v>
      </c>
      <c r="D9" s="192">
        <f t="shared" si="0"/>
        <v>0.03030303030303031</v>
      </c>
      <c r="E9" s="193">
        <f>VLOOKUP($A9,Grig1!$A$6:$P$58,5,0)</f>
        <v>4619076</v>
      </c>
      <c r="F9" s="194">
        <f>VLOOKUP($A9,Grig1!$A$6:$P$58,6,0)</f>
        <v>2922500</v>
      </c>
      <c r="G9" s="192">
        <f t="shared" si="1"/>
        <v>0.5805221556886226</v>
      </c>
      <c r="H9" s="195">
        <f>B9/VLOOKUP($A9,Население!$A$1:$B$27,2,0)*10000</f>
        <v>13.364779874213836</v>
      </c>
      <c r="I9" s="196">
        <f>C9/VLOOKUP($A9,Население!$A$1:$B$27,2,0)*10000</f>
        <v>12.971698113207546</v>
      </c>
      <c r="J9" s="192">
        <f t="shared" si="2"/>
        <v>0.03030303030303031</v>
      </c>
      <c r="K9" s="193">
        <f t="shared" si="6"/>
        <v>135855.17647058822</v>
      </c>
      <c r="L9" s="194">
        <f t="shared" si="7"/>
        <v>88560.60606060606</v>
      </c>
      <c r="M9" s="192">
        <f t="shared" si="3"/>
        <v>0.5340362099330747</v>
      </c>
      <c r="N9" s="195">
        <f>E9/VLOOKUP($A9,Население!$A$1:$B$27,2,0)</f>
        <v>181.56745283018867</v>
      </c>
      <c r="O9" s="196">
        <f>F9/VLOOKUP($A9,Население!$A$1:$B$27,2,0)</f>
        <v>114.87814465408805</v>
      </c>
      <c r="P9" s="192">
        <f t="shared" si="4"/>
        <v>0.5805221556886226</v>
      </c>
      <c r="Q9" s="190">
        <f>VLOOKUP($A9,Grig1!$A$6:$P$58,8,0)</f>
        <v>1</v>
      </c>
      <c r="R9" s="200">
        <f>VLOOKUP($A9,Grig1!$A$6:$P$58,9,0)</f>
        <v>2</v>
      </c>
      <c r="S9" s="192">
        <f t="shared" si="5"/>
        <v>-0.5</v>
      </c>
      <c r="T9" s="195">
        <f>Q9/VLOOKUP($A9,Население!$A$1:$B$27,2,0)*10000</f>
        <v>0.3930817610062893</v>
      </c>
      <c r="U9" s="196">
        <f>R9/VLOOKUP($A9,Население!$A$1:$B$27,2,0)*10000</f>
        <v>0.7861635220125786</v>
      </c>
      <c r="V9" s="192">
        <f t="shared" si="8"/>
        <v>-0.5</v>
      </c>
    </row>
    <row r="10" spans="1:22" ht="18.75">
      <c r="A10" s="201" t="str">
        <f>Grig1!A$22</f>
        <v>Канашский</v>
      </c>
      <c r="B10" s="190">
        <f>VLOOKUP($A10,Grig1!$A$6:$P$58,2,0)</f>
        <v>80</v>
      </c>
      <c r="C10" s="200">
        <f>VLOOKUP($A10,Grig1!$A$6:$P$58,3,0)</f>
        <v>74</v>
      </c>
      <c r="D10" s="192">
        <f t="shared" si="0"/>
        <v>0.08108108108108113</v>
      </c>
      <c r="E10" s="193">
        <f>VLOOKUP($A10,Grig1!$A$6:$P$58,5,0)</f>
        <v>5282250</v>
      </c>
      <c r="F10" s="194">
        <f>VLOOKUP($A10,Grig1!$A$6:$P$58,6,0)</f>
        <v>3651500</v>
      </c>
      <c r="G10" s="192">
        <f t="shared" si="1"/>
        <v>0.44659728878543065</v>
      </c>
      <c r="H10" s="195">
        <f>B10/VLOOKUP($A10,Население!$A$1:$B$27,2,0)*10000</f>
        <v>9.471490812653911</v>
      </c>
      <c r="I10" s="196">
        <f>C10/VLOOKUP($A10,Население!$A$1:$B$27,2,0)*10000</f>
        <v>8.761129001704868</v>
      </c>
      <c r="J10" s="192">
        <f t="shared" si="2"/>
        <v>0.08108108108108113</v>
      </c>
      <c r="K10" s="193">
        <f t="shared" si="6"/>
        <v>66028.125</v>
      </c>
      <c r="L10" s="194">
        <f t="shared" si="7"/>
        <v>49344.59459459459</v>
      </c>
      <c r="M10" s="192">
        <f t="shared" si="3"/>
        <v>0.3381024921265234</v>
      </c>
      <c r="N10" s="195">
        <f>E10/VLOOKUP($A10,Население!$A$1:$B$27,2,0)</f>
        <v>62.53847793142641</v>
      </c>
      <c r="O10" s="196">
        <f>F10/VLOOKUP($A10,Население!$A$1:$B$27,2,0)</f>
        <v>43.2314358780072</v>
      </c>
      <c r="P10" s="192">
        <f t="shared" si="4"/>
        <v>0.44659728878543065</v>
      </c>
      <c r="Q10" s="190">
        <f>VLOOKUP($A10,Grig1!$A$6:$P$58,8,0)</f>
        <v>13</v>
      </c>
      <c r="R10" s="200">
        <f>VLOOKUP($A10,Grig1!$A$6:$P$58,9,0)</f>
        <v>9</v>
      </c>
      <c r="S10" s="192">
        <f t="shared" si="5"/>
        <v>0.4444444444444446</v>
      </c>
      <c r="T10" s="195">
        <f>Q10/VLOOKUP($A10,Население!$A$1:$B$27,2,0)*10000</f>
        <v>1.5391172570562606</v>
      </c>
      <c r="U10" s="196">
        <f>R10/VLOOKUP($A10,Население!$A$1:$B$27,2,0)*10000</f>
        <v>1.0655427164235651</v>
      </c>
      <c r="V10" s="192">
        <f t="shared" si="8"/>
        <v>0.4444444444444443</v>
      </c>
    </row>
    <row r="11" spans="1:22" ht="18.75">
      <c r="A11" s="201" t="str">
        <f>Grig1!A$24</f>
        <v>Козловский</v>
      </c>
      <c r="B11" s="190">
        <f>VLOOKUP($A11,Grig1!$A$6:$P$58,2,0)</f>
        <v>28</v>
      </c>
      <c r="C11" s="200">
        <f>VLOOKUP($A11,Grig1!$A$6:$P$58,3,0)</f>
        <v>29</v>
      </c>
      <c r="D11" s="192">
        <f t="shared" si="0"/>
        <v>-0.03448275862068968</v>
      </c>
      <c r="E11" s="193">
        <f>VLOOKUP($A11,Grig1!$A$6:$P$58,5,0)</f>
        <v>6549623</v>
      </c>
      <c r="F11" s="194">
        <f>VLOOKUP($A11,Grig1!$A$6:$P$58,6,0)</f>
        <v>1344000</v>
      </c>
      <c r="G11" s="192">
        <f t="shared" si="1"/>
        <v>3.873231398809524</v>
      </c>
      <c r="H11" s="195">
        <f>B11/VLOOKUP($A11,Население!$A$1:$B$27,2,0)*10000</f>
        <v>13.212533031332578</v>
      </c>
      <c r="I11" s="196">
        <f>C11/VLOOKUP($A11,Население!$A$1:$B$27,2,0)*10000</f>
        <v>13.684409211023027</v>
      </c>
      <c r="J11" s="192">
        <f t="shared" si="2"/>
        <v>-0.03448275862068968</v>
      </c>
      <c r="K11" s="193">
        <f t="shared" si="6"/>
        <v>233915.10714285713</v>
      </c>
      <c r="L11" s="194">
        <f t="shared" si="7"/>
        <v>46344.8275862069</v>
      </c>
      <c r="M11" s="192">
        <f t="shared" si="3"/>
        <v>4.047275377338434</v>
      </c>
      <c r="N11" s="195">
        <f>E11/VLOOKUP($A11,Население!$A$1:$B$27,2,0)</f>
        <v>309.0611079652699</v>
      </c>
      <c r="O11" s="196">
        <f>F11/VLOOKUP($A11,Население!$A$1:$B$27,2,0)</f>
        <v>63.42015855039637</v>
      </c>
      <c r="P11" s="192">
        <f t="shared" si="4"/>
        <v>3.873231398809524</v>
      </c>
      <c r="Q11" s="190">
        <f>VLOOKUP($A11,Grig1!$A$6:$P$58,8,0)</f>
        <v>1</v>
      </c>
      <c r="R11" s="200">
        <f>VLOOKUP($A11,Grig1!$A$6:$P$58,9,0)</f>
        <v>2</v>
      </c>
      <c r="S11" s="192">
        <f t="shared" si="5"/>
        <v>-0.5</v>
      </c>
      <c r="T11" s="195">
        <f>Q11/VLOOKUP($A11,Население!$A$1:$B$27,2,0)*10000</f>
        <v>0.4718761796904492</v>
      </c>
      <c r="U11" s="196">
        <f>R11/VLOOKUP($A11,Население!$A$1:$B$27,2,0)*10000</f>
        <v>0.9437523593808984</v>
      </c>
      <c r="V11" s="192">
        <f t="shared" si="8"/>
        <v>-0.5</v>
      </c>
    </row>
    <row r="12" spans="1:22" ht="18.75">
      <c r="A12" s="201" t="str">
        <f>Grig1!A$26</f>
        <v>Комсомольский</v>
      </c>
      <c r="B12" s="190">
        <f>VLOOKUP($A12,Grig1!$A$6:$P$58,2,0)</f>
        <v>20</v>
      </c>
      <c r="C12" s="200">
        <f>VLOOKUP($A12,Grig1!$A$6:$P$58,3,0)</f>
        <v>25</v>
      </c>
      <c r="D12" s="192">
        <f t="shared" si="0"/>
        <v>-0.2</v>
      </c>
      <c r="E12" s="193">
        <f>VLOOKUP($A12,Grig1!$A$6:$P$58,5,0)</f>
        <v>1363500</v>
      </c>
      <c r="F12" s="194">
        <f>VLOOKUP($A12,Grig1!$A$6:$P$58,6,0)</f>
        <v>705651</v>
      </c>
      <c r="G12" s="192">
        <f t="shared" si="1"/>
        <v>0.9322582976570569</v>
      </c>
      <c r="H12" s="195">
        <f>B12/VLOOKUP($A12,Население!$A$1:$B$27,2,0)*10000</f>
        <v>7.512301393531908</v>
      </c>
      <c r="I12" s="196">
        <f>C12/VLOOKUP($A12,Население!$A$1:$B$27,2,0)*10000</f>
        <v>9.390376741914885</v>
      </c>
      <c r="J12" s="192">
        <f t="shared" si="2"/>
        <v>-0.2</v>
      </c>
      <c r="K12" s="193">
        <f t="shared" si="6"/>
        <v>68175</v>
      </c>
      <c r="L12" s="194">
        <f t="shared" si="7"/>
        <v>28226.04</v>
      </c>
      <c r="M12" s="192">
        <f t="shared" si="3"/>
        <v>1.4153228720713213</v>
      </c>
      <c r="N12" s="195">
        <f>E12/VLOOKUP($A12,Население!$A$1:$B$27,2,0)</f>
        <v>51.215114750403785</v>
      </c>
      <c r="O12" s="196">
        <f>F12/VLOOKUP($A12,Население!$A$1:$B$27,2,0)</f>
        <v>26.505314953235924</v>
      </c>
      <c r="P12" s="192">
        <f t="shared" si="4"/>
        <v>0.9322582976570569</v>
      </c>
      <c r="Q12" s="190">
        <f>VLOOKUP($A12,Grig1!$A$6:$P$58,8,0)</f>
        <v>1</v>
      </c>
      <c r="R12" s="200">
        <f>VLOOKUP($A12,Grig1!$A$6:$P$58,9,0)</f>
        <v>5</v>
      </c>
      <c r="S12" s="192">
        <f t="shared" si="5"/>
        <v>-0.8</v>
      </c>
      <c r="T12" s="195">
        <f>Q12/VLOOKUP($A12,Население!$A$1:$B$27,2,0)*10000</f>
        <v>0.37561506967659547</v>
      </c>
      <c r="U12" s="196">
        <f>R12/VLOOKUP($A12,Население!$A$1:$B$27,2,0)*10000</f>
        <v>1.878075348382977</v>
      </c>
      <c r="V12" s="192">
        <f t="shared" si="8"/>
        <v>-0.8</v>
      </c>
    </row>
    <row r="13" spans="1:22" ht="18.75">
      <c r="A13" s="201" t="str">
        <f>Grig1!A$28</f>
        <v>Красноармейский</v>
      </c>
      <c r="B13" s="190">
        <f>VLOOKUP($A13,Grig1!$A$6:$P$58,2,0)</f>
        <v>15</v>
      </c>
      <c r="C13" s="200">
        <f>VLOOKUP($A13,Grig1!$A$6:$P$58,3,0)</f>
        <v>26</v>
      </c>
      <c r="D13" s="192">
        <f t="shared" si="0"/>
        <v>-0.4230769230769231</v>
      </c>
      <c r="E13" s="193">
        <f>VLOOKUP($A13,Grig1!$A$6:$P$58,5,0)</f>
        <v>638500</v>
      </c>
      <c r="F13" s="194">
        <f>VLOOKUP($A13,Grig1!$A$6:$P$58,6,0)</f>
        <v>1488804</v>
      </c>
      <c r="G13" s="192">
        <f t="shared" si="1"/>
        <v>-0.5711322645559792</v>
      </c>
      <c r="H13" s="195">
        <f>B13/VLOOKUP($A13,Население!$A$1:$B$27,2,0)*10000</f>
        <v>9.641342074816814</v>
      </c>
      <c r="I13" s="196">
        <f>C13/VLOOKUP($A13,Население!$A$1:$B$27,2,0)*10000</f>
        <v>16.711659596349147</v>
      </c>
      <c r="J13" s="192">
        <f t="shared" si="2"/>
        <v>-0.42307692307692313</v>
      </c>
      <c r="K13" s="193">
        <f t="shared" si="6"/>
        <v>42566.666666666664</v>
      </c>
      <c r="L13" s="194">
        <f t="shared" si="7"/>
        <v>57261.692307692305</v>
      </c>
      <c r="M13" s="192">
        <f t="shared" si="3"/>
        <v>-0.2566292585636972</v>
      </c>
      <c r="N13" s="195">
        <f>E13/VLOOKUP($A13,Население!$A$1:$B$27,2,0)</f>
        <v>41.03997943180357</v>
      </c>
      <c r="O13" s="196">
        <f>F13/VLOOKUP($A13,Население!$A$1:$B$27,2,0)</f>
        <v>95.69379097570382</v>
      </c>
      <c r="P13" s="192">
        <f t="shared" si="4"/>
        <v>-0.5711322645559791</v>
      </c>
      <c r="Q13" s="190">
        <f>VLOOKUP($A13,Grig1!$A$6:$P$58,8,0)</f>
        <v>1</v>
      </c>
      <c r="R13" s="200">
        <f>VLOOKUP($A13,Grig1!$A$6:$P$58,9,0)</f>
        <v>3</v>
      </c>
      <c r="S13" s="192">
        <f t="shared" si="5"/>
        <v>-0.6666666666666665</v>
      </c>
      <c r="T13" s="195">
        <f>Q13/VLOOKUP($A13,Население!$A$1:$B$27,2,0)*10000</f>
        <v>0.642756138321121</v>
      </c>
      <c r="U13" s="196">
        <f>R13/VLOOKUP($A13,Население!$A$1:$B$27,2,0)*10000</f>
        <v>1.9282684149633629</v>
      </c>
      <c r="V13" s="192">
        <f t="shared" si="8"/>
        <v>-0.6666666666666665</v>
      </c>
    </row>
    <row r="14" spans="1:22" ht="18.75">
      <c r="A14" s="201" t="str">
        <f>Grig1!A$30</f>
        <v>Красночетайский</v>
      </c>
      <c r="B14" s="190">
        <f>VLOOKUP($A14,Grig1!$A$6:$P$58,2,0)</f>
        <v>38</v>
      </c>
      <c r="C14" s="200">
        <f>VLOOKUP($A14,Grig1!$A$6:$P$58,3,0)</f>
        <v>30</v>
      </c>
      <c r="D14" s="192">
        <f t="shared" si="0"/>
        <v>0.2666666666666667</v>
      </c>
      <c r="E14" s="193">
        <f>VLOOKUP($A14,Grig1!$A$6:$P$58,5,0)</f>
        <v>2475000</v>
      </c>
      <c r="F14" s="194">
        <f>VLOOKUP($A14,Grig1!$A$6:$P$58,6,0)</f>
        <v>1663500</v>
      </c>
      <c r="G14" s="192">
        <f t="shared" si="1"/>
        <v>0.48782687105500455</v>
      </c>
      <c r="H14" s="195">
        <f>B14/VLOOKUP($A14,Население!$A$1:$B$27,2,0)*10000</f>
        <v>22.978774868476748</v>
      </c>
      <c r="I14" s="196">
        <f>C14/VLOOKUP($A14,Население!$A$1:$B$27,2,0)*10000</f>
        <v>18.14113805406059</v>
      </c>
      <c r="J14" s="192">
        <f t="shared" si="2"/>
        <v>0.2666666666666667</v>
      </c>
      <c r="K14" s="193">
        <f t="shared" si="6"/>
        <v>65131.57894736842</v>
      </c>
      <c r="L14" s="194">
        <f t="shared" si="7"/>
        <v>55450</v>
      </c>
      <c r="M14" s="192">
        <f t="shared" si="3"/>
        <v>0.17460016135921408</v>
      </c>
      <c r="N14" s="195">
        <f>E14/VLOOKUP($A14,Население!$A$1:$B$27,2,0)</f>
        <v>149.6643889459999</v>
      </c>
      <c r="O14" s="196">
        <f>F14/VLOOKUP($A14,Население!$A$1:$B$27,2,0)</f>
        <v>100.59261050976598</v>
      </c>
      <c r="P14" s="192">
        <f t="shared" si="4"/>
        <v>0.48782687105500455</v>
      </c>
      <c r="Q14" s="190">
        <f>VLOOKUP($A14,Grig1!$A$6:$P$58,8,0)</f>
        <v>1</v>
      </c>
      <c r="R14" s="200">
        <f>VLOOKUP($A14,Grig1!$A$6:$P$58,9,0)</f>
        <v>7</v>
      </c>
      <c r="S14" s="192">
        <f t="shared" si="5"/>
        <v>-0.8571428571428571</v>
      </c>
      <c r="T14" s="195">
        <f>Q14/VLOOKUP($A14,Население!$A$1:$B$27,2,0)*10000</f>
        <v>0.6047046018020197</v>
      </c>
      <c r="U14" s="196">
        <f>R14/VLOOKUP($A14,Население!$A$1:$B$27,2,0)*10000</f>
        <v>4.232932212614138</v>
      </c>
      <c r="V14" s="192">
        <f t="shared" si="8"/>
        <v>-0.8571428571428571</v>
      </c>
    </row>
    <row r="15" spans="1:22" ht="18.75">
      <c r="A15" s="201" t="str">
        <f>Grig1!A$32</f>
        <v>Марпосадский</v>
      </c>
      <c r="B15" s="190">
        <f>VLOOKUP($A15,Grig1!$A$6:$P$58,2,0)</f>
        <v>36</v>
      </c>
      <c r="C15" s="200">
        <f>VLOOKUP($A15,Grig1!$A$6:$P$58,3,0)</f>
        <v>38</v>
      </c>
      <c r="D15" s="192">
        <f t="shared" si="0"/>
        <v>-0.052631578947368356</v>
      </c>
      <c r="E15" s="193">
        <f>VLOOKUP($A15,Grig1!$A$6:$P$58,5,0)</f>
        <v>3066000</v>
      </c>
      <c r="F15" s="194">
        <f>VLOOKUP($A15,Grig1!$A$6:$P$58,6,0)</f>
        <v>2848400</v>
      </c>
      <c r="G15" s="192">
        <f t="shared" si="1"/>
        <v>0.07639376492065722</v>
      </c>
      <c r="H15" s="195">
        <f>B15/VLOOKUP($A15,Население!$A$1:$B$27,2,0)*10000</f>
        <v>15.153428463189798</v>
      </c>
      <c r="I15" s="196">
        <f>C15/VLOOKUP($A15,Население!$A$1:$B$27,2,0)*10000</f>
        <v>15.995285600033675</v>
      </c>
      <c r="J15" s="192">
        <f t="shared" si="2"/>
        <v>-0.052631578947368356</v>
      </c>
      <c r="K15" s="193">
        <f t="shared" si="6"/>
        <v>85166.66666666667</v>
      </c>
      <c r="L15" s="194">
        <f t="shared" si="7"/>
        <v>74957.8947368421</v>
      </c>
      <c r="M15" s="192">
        <f t="shared" si="3"/>
        <v>0.13619341852736055</v>
      </c>
      <c r="N15" s="195">
        <f>E15/VLOOKUP($A15,Население!$A$1:$B$27,2,0)</f>
        <v>129.05669907816645</v>
      </c>
      <c r="O15" s="196">
        <f>F15/VLOOKUP($A15,Население!$A$1:$B$27,2,0)</f>
        <v>119.89729342930505</v>
      </c>
      <c r="P15" s="192">
        <f t="shared" si="4"/>
        <v>0.07639376492065722</v>
      </c>
      <c r="Q15" s="190">
        <f>VLOOKUP($A15,Grig1!$A$6:$P$58,8,0)</f>
        <v>5</v>
      </c>
      <c r="R15" s="200">
        <f>VLOOKUP($A15,Grig1!$A$6:$P$58,9,0)</f>
        <v>4</v>
      </c>
      <c r="S15" s="192">
        <f t="shared" si="5"/>
        <v>0.25</v>
      </c>
      <c r="T15" s="195">
        <f>Q15/VLOOKUP($A15,Население!$A$1:$B$27,2,0)*10000</f>
        <v>2.104642842109694</v>
      </c>
      <c r="U15" s="196">
        <f>R15/VLOOKUP($A15,Население!$A$1:$B$27,2,0)*10000</f>
        <v>1.6837142736877553</v>
      </c>
      <c r="V15" s="192">
        <f t="shared" si="8"/>
        <v>0.25000000000000017</v>
      </c>
    </row>
    <row r="16" spans="1:22" ht="18.75">
      <c r="A16" s="201" t="str">
        <f>Grig1!A$34</f>
        <v>Моргаушский</v>
      </c>
      <c r="B16" s="190">
        <f>VLOOKUP($A16,Grig1!$A$6:$P$58,2,0)</f>
        <v>37</v>
      </c>
      <c r="C16" s="200">
        <f>VLOOKUP($A16,Grig1!$A$6:$P$58,3,0)</f>
        <v>34</v>
      </c>
      <c r="D16" s="192">
        <f t="shared" si="0"/>
        <v>0.0882352941176471</v>
      </c>
      <c r="E16" s="193">
        <f>VLOOKUP($A16,Grig1!$A$6:$P$58,5,0)</f>
        <v>1937300</v>
      </c>
      <c r="F16" s="194">
        <f>VLOOKUP($A16,Grig1!$A$6:$P$58,6,0)</f>
        <v>1674620</v>
      </c>
      <c r="G16" s="192">
        <f t="shared" si="1"/>
        <v>0.15685946662526418</v>
      </c>
      <c r="H16" s="195">
        <f>B16/VLOOKUP($A16,Население!$A$1:$B$27,2,0)*10000</f>
        <v>10.69086075876217</v>
      </c>
      <c r="I16" s="196">
        <f>C16/VLOOKUP($A16,Население!$A$1:$B$27,2,0)*10000</f>
        <v>9.824034210754427</v>
      </c>
      <c r="J16" s="192">
        <f t="shared" si="2"/>
        <v>0.08823529411764695</v>
      </c>
      <c r="K16" s="193">
        <f t="shared" si="6"/>
        <v>52359.45945945946</v>
      </c>
      <c r="L16" s="194">
        <f t="shared" si="7"/>
        <v>49253.529411764706</v>
      </c>
      <c r="M16" s="192">
        <f t="shared" si="3"/>
        <v>0.06306005041240483</v>
      </c>
      <c r="N16" s="195">
        <f>E16/VLOOKUP($A16,Население!$A$1:$B$27,2,0)</f>
        <v>55.97676904851339</v>
      </c>
      <c r="O16" s="196">
        <f>F16/VLOOKUP($A16,Население!$A$1:$B$27,2,0)</f>
        <v>48.38683579415759</v>
      </c>
      <c r="P16" s="192">
        <f t="shared" si="4"/>
        <v>0.15685946662526404</v>
      </c>
      <c r="Q16" s="190">
        <f>VLOOKUP($A16,Grig1!$A$6:$P$58,8,0)</f>
        <v>7</v>
      </c>
      <c r="R16" s="200">
        <f>VLOOKUP($A16,Grig1!$A$6:$P$58,9,0)</f>
        <v>5</v>
      </c>
      <c r="S16" s="192">
        <f t="shared" si="5"/>
        <v>0.4</v>
      </c>
      <c r="T16" s="195">
        <f>Q16/VLOOKUP($A16,Население!$A$1:$B$27,2,0)*10000</f>
        <v>2.022595278684735</v>
      </c>
      <c r="U16" s="196">
        <f>R16/VLOOKUP($A16,Население!$A$1:$B$27,2,0)*10000</f>
        <v>1.4447109133462395</v>
      </c>
      <c r="V16" s="192">
        <f t="shared" si="8"/>
        <v>0.4</v>
      </c>
    </row>
    <row r="17" spans="1:22" ht="18.75">
      <c r="A17" s="201" t="str">
        <f>Grig1!A$37</f>
        <v>г.Новочебоксарск</v>
      </c>
      <c r="B17" s="190">
        <f>VLOOKUP($A17,Grig1!$A$6:$P$58,2,0)</f>
        <v>41</v>
      </c>
      <c r="C17" s="200">
        <f>VLOOKUP($A17,Grig1!$A$6:$P$58,3,0)</f>
        <v>49</v>
      </c>
      <c r="D17" s="192">
        <f t="shared" si="0"/>
        <v>-0.16326530612244894</v>
      </c>
      <c r="E17" s="193">
        <f>VLOOKUP($A17,Grig1!$A$6:$P$58,5,0)</f>
        <v>1006600</v>
      </c>
      <c r="F17" s="194">
        <f>VLOOKUP($A17,Grig1!$A$6:$P$58,6,0)</f>
        <v>1958963</v>
      </c>
      <c r="G17" s="192">
        <f t="shared" si="1"/>
        <v>-0.48615670637985503</v>
      </c>
      <c r="H17" s="195">
        <f>B17/VLOOKUP($A17,Население!$A$1:$B$27,2,0)*10000</f>
        <v>3.296933048135222</v>
      </c>
      <c r="I17" s="196">
        <f>C17/VLOOKUP($A17,Население!$A$1:$B$27,2,0)*10000</f>
        <v>3.940237057527461</v>
      </c>
      <c r="J17" s="192">
        <f t="shared" si="2"/>
        <v>-0.16326530612244894</v>
      </c>
      <c r="K17" s="193">
        <f t="shared" si="6"/>
        <v>24551.219512195123</v>
      </c>
      <c r="L17" s="194">
        <f t="shared" si="7"/>
        <v>39978.836734693876</v>
      </c>
      <c r="M17" s="192">
        <f t="shared" si="3"/>
        <v>-0.3858946003076316</v>
      </c>
      <c r="N17" s="195">
        <f>E17/VLOOKUP($A17,Население!$A$1:$B$27,2,0)</f>
        <v>8.09437269817784</v>
      </c>
      <c r="O17" s="196">
        <f>F17/VLOOKUP($A17,Население!$A$1:$B$27,2,0)</f>
        <v>15.752609401888098</v>
      </c>
      <c r="P17" s="192">
        <f t="shared" si="4"/>
        <v>-0.4861567063798551</v>
      </c>
      <c r="Q17" s="190">
        <f>VLOOKUP($A17,Grig1!$A$6:$P$58,8,0)</f>
        <v>0</v>
      </c>
      <c r="R17" s="200">
        <f>VLOOKUP($A17,Grig1!$A$6:$P$58,9,0)</f>
        <v>2</v>
      </c>
      <c r="S17" s="192">
        <f t="shared" si="5"/>
        <v>-1</v>
      </c>
      <c r="T17" s="195">
        <f>Q17/VLOOKUP($A17,Население!$A$1:$B$27,2,0)*10000</f>
        <v>0</v>
      </c>
      <c r="U17" s="196">
        <f>R17/VLOOKUP($A17,Население!$A$1:$B$27,2,0)*10000</f>
        <v>0.16082600234805963</v>
      </c>
      <c r="V17" s="192">
        <f t="shared" si="8"/>
        <v>-1</v>
      </c>
    </row>
    <row r="18" spans="1:22" ht="18.75">
      <c r="A18" s="201" t="str">
        <f>Grig1!A$38</f>
        <v>Порецкий</v>
      </c>
      <c r="B18" s="190">
        <f>VLOOKUP($A18,Grig1!$A$6:$P$58,2,0)</f>
        <v>21</v>
      </c>
      <c r="C18" s="200">
        <f>VLOOKUP($A18,Grig1!$A$6:$P$58,3,0)</f>
        <v>19</v>
      </c>
      <c r="D18" s="192">
        <f t="shared" si="0"/>
        <v>0.10526315789473685</v>
      </c>
      <c r="E18" s="193">
        <f>VLOOKUP($A18,Grig1!$A$6:$P$58,5,0)</f>
        <v>2113500</v>
      </c>
      <c r="F18" s="194">
        <f>VLOOKUP($A18,Grig1!$A$6:$P$58,6,0)</f>
        <v>897200</v>
      </c>
      <c r="G18" s="192">
        <f t="shared" si="1"/>
        <v>1.3556620597414177</v>
      </c>
      <c r="H18" s="195">
        <f>B18/VLOOKUP($A18,Население!$A$1:$B$27,2,0)*10000</f>
        <v>15.446855461566752</v>
      </c>
      <c r="I18" s="196">
        <f>C18/VLOOKUP($A18,Население!$A$1:$B$27,2,0)*10000</f>
        <v>13.975726369988967</v>
      </c>
      <c r="J18" s="192">
        <f t="shared" si="2"/>
        <v>0.10526315789473671</v>
      </c>
      <c r="K18" s="193">
        <f t="shared" si="6"/>
        <v>100642.85714285714</v>
      </c>
      <c r="L18" s="194">
        <f t="shared" si="7"/>
        <v>47221.05263157895</v>
      </c>
      <c r="M18" s="192">
        <f t="shared" si="3"/>
        <v>1.1313132921469973</v>
      </c>
      <c r="N18" s="195">
        <f>E18/VLOOKUP($A18,Население!$A$1:$B$27,2,0)</f>
        <v>155.46156675248253</v>
      </c>
      <c r="O18" s="196">
        <f>F18/VLOOKUP($A18,Население!$A$1:$B$27,2,0)</f>
        <v>65.99485104817948</v>
      </c>
      <c r="P18" s="192">
        <f t="shared" si="4"/>
        <v>1.3556620597414175</v>
      </c>
      <c r="Q18" s="190">
        <f>VLOOKUP($A18,Grig1!$A$6:$P$58,8,0)</f>
        <v>4</v>
      </c>
      <c r="R18" s="200">
        <f>VLOOKUP($A18,Grig1!$A$6:$P$58,9,0)</f>
        <v>3</v>
      </c>
      <c r="S18" s="192">
        <f t="shared" si="5"/>
        <v>0.3333333333333334</v>
      </c>
      <c r="T18" s="195">
        <f>Q18/VLOOKUP($A18,Население!$A$1:$B$27,2,0)*10000</f>
        <v>2.942258183155572</v>
      </c>
      <c r="U18" s="196">
        <f>R18/VLOOKUP($A18,Население!$A$1:$B$27,2,0)*10000</f>
        <v>2.206693637366679</v>
      </c>
      <c r="V18" s="192">
        <f t="shared" si="8"/>
        <v>0.3333333333333334</v>
      </c>
    </row>
    <row r="19" spans="1:22" ht="18.75">
      <c r="A19" s="201" t="str">
        <f>Grig1!A$40</f>
        <v>Урмарский</v>
      </c>
      <c r="B19" s="190">
        <f>VLOOKUP($A19,Grig1!$A$6:$P$58,2,0)</f>
        <v>24</v>
      </c>
      <c r="C19" s="200">
        <f>VLOOKUP($A19,Grig1!$A$6:$P$58,3,0)</f>
        <v>33</v>
      </c>
      <c r="D19" s="192">
        <f t="shared" si="0"/>
        <v>-0.27272727272727265</v>
      </c>
      <c r="E19" s="193">
        <f>VLOOKUP($A19,Grig1!$A$6:$P$58,5,0)</f>
        <v>1185000</v>
      </c>
      <c r="F19" s="194">
        <f>VLOOKUP($A19,Grig1!$A$6:$P$58,6,0)</f>
        <v>3056400</v>
      </c>
      <c r="G19" s="192">
        <f t="shared" si="1"/>
        <v>-0.6122889674126423</v>
      </c>
      <c r="H19" s="195">
        <f>B19/VLOOKUP($A19,Население!$A$1:$B$27,2,0)*10000</f>
        <v>9.694619486185168</v>
      </c>
      <c r="I19" s="196">
        <f>C19/VLOOKUP($A19,Население!$A$1:$B$27,2,0)*10000</f>
        <v>13.330101793504603</v>
      </c>
      <c r="J19" s="192">
        <f t="shared" si="2"/>
        <v>-0.27272727272727265</v>
      </c>
      <c r="K19" s="193">
        <f t="shared" si="6"/>
        <v>49375</v>
      </c>
      <c r="L19" s="194">
        <f t="shared" si="7"/>
        <v>92618.18181818182</v>
      </c>
      <c r="M19" s="192">
        <f t="shared" si="3"/>
        <v>-0.4668973301923833</v>
      </c>
      <c r="N19" s="195">
        <f>E19/VLOOKUP($A19,Население!$A$1:$B$27,2,0)</f>
        <v>47.86718371303926</v>
      </c>
      <c r="O19" s="196">
        <f>F19/VLOOKUP($A19,Население!$A$1:$B$27,2,0)</f>
        <v>123.4609791565681</v>
      </c>
      <c r="P19" s="192">
        <f t="shared" si="4"/>
        <v>-0.6122889674126424</v>
      </c>
      <c r="Q19" s="190">
        <f>VLOOKUP($A19,Grig1!$A$6:$P$58,8,0)</f>
        <v>7</v>
      </c>
      <c r="R19" s="200">
        <f>VLOOKUP($A19,Grig1!$A$6:$P$58,9,0)</f>
        <v>2</v>
      </c>
      <c r="S19" s="192">
        <f t="shared" si="5"/>
        <v>2.5</v>
      </c>
      <c r="T19" s="195">
        <f>Q19/VLOOKUP($A19,Население!$A$1:$B$27,2,0)*10000</f>
        <v>2.827597350137341</v>
      </c>
      <c r="U19" s="196">
        <f>R19/VLOOKUP($A19,Население!$A$1:$B$27,2,0)*10000</f>
        <v>0.8078849571820973</v>
      </c>
      <c r="V19" s="192">
        <f t="shared" si="8"/>
        <v>2.5000000000000004</v>
      </c>
    </row>
    <row r="20" spans="1:22" s="637" customFormat="1" ht="18.75">
      <c r="A20" s="629" t="str">
        <f>Grig1!A$42</f>
        <v>Цивильский</v>
      </c>
      <c r="B20" s="630">
        <f>VLOOKUP($A20,Grig1!$A$6:$P$58,2,0)</f>
        <v>52</v>
      </c>
      <c r="C20" s="631">
        <f>VLOOKUP($A20,Grig1!$A$6:$P$58,3,0)</f>
        <v>38</v>
      </c>
      <c r="D20" s="632">
        <f t="shared" si="0"/>
        <v>0.3684210526315789</v>
      </c>
      <c r="E20" s="633">
        <f>VLOOKUP($A20,Grig1!$A$6:$P$58,5,0)</f>
        <v>3368000</v>
      </c>
      <c r="F20" s="634">
        <f>VLOOKUP($A20,Grig1!$A$6:$P$58,6,0)</f>
        <v>1751500</v>
      </c>
      <c r="G20" s="632">
        <f t="shared" si="1"/>
        <v>0.9229232086782758</v>
      </c>
      <c r="H20" s="635">
        <f>B20/VLOOKUP($A20,Население!$A$1:$B$27,2,0)*10000</f>
        <v>14.240722990551827</v>
      </c>
      <c r="I20" s="636">
        <f>C20/VLOOKUP($A20,Население!$A$1:$B$27,2,0)*10000</f>
        <v>10.406682185403259</v>
      </c>
      <c r="J20" s="632">
        <f t="shared" si="2"/>
        <v>0.3684210526315789</v>
      </c>
      <c r="K20" s="633">
        <f t="shared" si="6"/>
        <v>64769.230769230766</v>
      </c>
      <c r="L20" s="634">
        <f t="shared" si="7"/>
        <v>46092.10526315789</v>
      </c>
      <c r="M20" s="632">
        <f t="shared" si="3"/>
        <v>0.4052131140341245</v>
      </c>
      <c r="N20" s="635">
        <f>E20/VLOOKUP($A20,Население!$A$1:$B$27,2,0)</f>
        <v>92.23606736957414</v>
      </c>
      <c r="O20" s="636">
        <f>F20/VLOOKUP($A20,Население!$A$1:$B$27,2,0)</f>
        <v>47.96658907298371</v>
      </c>
      <c r="P20" s="632">
        <f t="shared" si="4"/>
        <v>0.9229232086782756</v>
      </c>
      <c r="Q20" s="630">
        <f>VLOOKUP($A20,Grig1!$A$6:$P$58,8,0)</f>
        <v>6</v>
      </c>
      <c r="R20" s="631">
        <f>VLOOKUP($A20,Grig1!$A$6:$P$58,9,0)</f>
        <v>4</v>
      </c>
      <c r="S20" s="632">
        <f t="shared" si="5"/>
        <v>0.5</v>
      </c>
      <c r="T20" s="635">
        <f>Q20/VLOOKUP($A20,Население!$A$1:$B$27,2,0)*10000</f>
        <v>1.6431603450636723</v>
      </c>
      <c r="U20" s="636">
        <f>R20/VLOOKUP($A20,Население!$A$1:$B$27,2,0)*10000</f>
        <v>1.0954402300424484</v>
      </c>
      <c r="V20" s="632">
        <f t="shared" si="8"/>
        <v>0.4999999999999997</v>
      </c>
    </row>
    <row r="21" spans="1:22" ht="18.75">
      <c r="A21" s="201" t="str">
        <f>Grig1!A$44</f>
        <v>Чебоксарский</v>
      </c>
      <c r="B21" s="190">
        <f>VLOOKUP($A21,Grig1!$A$6:$P$58,2,0)</f>
        <v>85</v>
      </c>
      <c r="C21" s="200">
        <f>VLOOKUP($A21,Grig1!$A$6:$P$58,3,0)</f>
        <v>87</v>
      </c>
      <c r="D21" s="192">
        <f t="shared" si="0"/>
        <v>-0.022988505747126454</v>
      </c>
      <c r="E21" s="193">
        <f>VLOOKUP($A21,Grig1!$A$6:$P$58,5,0)</f>
        <v>4954238</v>
      </c>
      <c r="F21" s="194">
        <f>VLOOKUP($A21,Grig1!$A$6:$P$58,6,0)</f>
        <v>4818131</v>
      </c>
      <c r="G21" s="192">
        <f t="shared" si="1"/>
        <v>0.028248920587671904</v>
      </c>
      <c r="H21" s="195">
        <f>B21/VLOOKUP($A21,Население!$A$1:$B$27,2,0)*10000</f>
        <v>13.425150835518211</v>
      </c>
      <c r="I21" s="196">
        <f>C21/VLOOKUP($A21,Население!$A$1:$B$27,2,0)*10000</f>
        <v>13.741036737530404</v>
      </c>
      <c r="J21" s="192">
        <f t="shared" si="2"/>
        <v>-0.022988505747126454</v>
      </c>
      <c r="K21" s="193">
        <f t="shared" si="6"/>
        <v>58285.15294117647</v>
      </c>
      <c r="L21" s="194">
        <f t="shared" si="7"/>
        <v>55380.816091954024</v>
      </c>
      <c r="M21" s="192">
        <f t="shared" si="3"/>
        <v>0.052443012836793625</v>
      </c>
      <c r="N21" s="195">
        <f>E21/VLOOKUP($A21,Население!$A$1:$B$27,2,0)</f>
        <v>78.2486969706542</v>
      </c>
      <c r="O21" s="196">
        <f>F21/VLOOKUP($A21,Население!$A$1:$B$27,2,0)</f>
        <v>76.09898284739552</v>
      </c>
      <c r="P21" s="192">
        <f t="shared" si="4"/>
        <v>0.028248920587671762</v>
      </c>
      <c r="Q21" s="190">
        <f>VLOOKUP($A21,Grig1!$A$6:$P$58,8,0)</f>
        <v>5</v>
      </c>
      <c r="R21" s="200">
        <f>VLOOKUP($A21,Grig1!$A$6:$P$58,9,0)</f>
        <v>8</v>
      </c>
      <c r="S21" s="192">
        <f t="shared" si="5"/>
        <v>-0.375</v>
      </c>
      <c r="T21" s="195">
        <f>Q21/VLOOKUP($A21,Население!$A$1:$B$27,2,0)*10000</f>
        <v>0.7897147550304829</v>
      </c>
      <c r="U21" s="196">
        <f>R21/VLOOKUP($A21,Население!$A$1:$B$27,2,0)*10000</f>
        <v>1.2635436080487727</v>
      </c>
      <c r="V21" s="192">
        <f t="shared" si="8"/>
        <v>-0.375</v>
      </c>
    </row>
    <row r="22" spans="1:22" ht="18.75">
      <c r="A22" s="201" t="str">
        <f>Grig1!A$46</f>
        <v>Шемуршинский</v>
      </c>
      <c r="B22" s="190">
        <f>VLOOKUP($A22,Grig1!$A$6:$P$58,2,0)</f>
        <v>14</v>
      </c>
      <c r="C22" s="200">
        <f>VLOOKUP($A22,Grig1!$A$6:$P$58,3,0)</f>
        <v>10</v>
      </c>
      <c r="D22" s="192">
        <f t="shared" si="0"/>
        <v>0.4</v>
      </c>
      <c r="E22" s="193">
        <f>VLOOKUP($A22,Grig1!$A$6:$P$58,5,0)</f>
        <v>1029610</v>
      </c>
      <c r="F22" s="194">
        <f>VLOOKUP($A22,Grig1!$A$6:$P$58,6,0)</f>
        <v>791000</v>
      </c>
      <c r="G22" s="192">
        <f t="shared" si="1"/>
        <v>0.3016561314791403</v>
      </c>
      <c r="H22" s="195">
        <f>B22/VLOOKUP($A22,Население!$A$1:$B$27,2,0)*10000</f>
        <v>9.903091179175215</v>
      </c>
      <c r="I22" s="196">
        <f>C22/VLOOKUP($A22,Население!$A$1:$B$27,2,0)*10000</f>
        <v>7.0736365565537245</v>
      </c>
      <c r="J22" s="192">
        <f t="shared" si="2"/>
        <v>0.4</v>
      </c>
      <c r="K22" s="193">
        <f t="shared" si="6"/>
        <v>73543.57142857143</v>
      </c>
      <c r="L22" s="194">
        <f t="shared" si="7"/>
        <v>79100</v>
      </c>
      <c r="M22" s="192">
        <f t="shared" si="3"/>
        <v>-0.07024562037204247</v>
      </c>
      <c r="N22" s="195">
        <f>E22/VLOOKUP($A22,Население!$A$1:$B$27,2,0)</f>
        <v>72.8308693499328</v>
      </c>
      <c r="O22" s="196">
        <f>F22/VLOOKUP($A22,Население!$A$1:$B$27,2,0)</f>
        <v>55.95246516233996</v>
      </c>
      <c r="P22" s="192">
        <f t="shared" si="4"/>
        <v>0.3016561314791403</v>
      </c>
      <c r="Q22" s="190">
        <f>VLOOKUP($A22,Grig1!$A$6:$P$58,8,0)</f>
        <v>0</v>
      </c>
      <c r="R22" s="200">
        <f>VLOOKUP($A22,Grig1!$A$6:$P$58,9,0)</f>
        <v>1</v>
      </c>
      <c r="S22" s="192">
        <f t="shared" si="5"/>
        <v>-1</v>
      </c>
      <c r="T22" s="195">
        <f>Q22/VLOOKUP($A22,Население!$A$1:$B$27,2,0)*10000</f>
        <v>0</v>
      </c>
      <c r="U22" s="196">
        <f>R22/VLOOKUP($A22,Население!$A$1:$B$27,2,0)*10000</f>
        <v>0.7073636556553724</v>
      </c>
      <c r="V22" s="192">
        <f t="shared" si="8"/>
        <v>-1</v>
      </c>
    </row>
    <row r="23" spans="1:22" ht="18.75">
      <c r="A23" s="201" t="str">
        <f>Grig1!A$48</f>
        <v>Шумерлинский</v>
      </c>
      <c r="B23" s="190">
        <f>VLOOKUP($A23,Grig1!$A$6:$P$58,2,0)</f>
        <v>44</v>
      </c>
      <c r="C23" s="200">
        <f>VLOOKUP($A23,Grig1!$A$6:$P$58,3,0)</f>
        <v>57</v>
      </c>
      <c r="D23" s="192">
        <f t="shared" si="0"/>
        <v>-0.22807017543859642</v>
      </c>
      <c r="E23" s="193">
        <f>VLOOKUP($A23,Grig1!$A$6:$P$58,5,0)</f>
        <v>3230400</v>
      </c>
      <c r="F23" s="194">
        <f>VLOOKUP($A23,Grig1!$A$6:$P$58,6,0)</f>
        <v>2810131</v>
      </c>
      <c r="G23" s="192">
        <f t="shared" si="1"/>
        <v>0.14955494957352528</v>
      </c>
      <c r="H23" s="195">
        <f>B23/VLOOKUP($A23,Население!$A$1:$B$27,2,0)*10000</f>
        <v>10.551305724083356</v>
      </c>
      <c r="I23" s="196">
        <f>C23/VLOOKUP($A23,Население!$A$1:$B$27,2,0)*10000</f>
        <v>13.668736960744347</v>
      </c>
      <c r="J23" s="192">
        <f t="shared" si="2"/>
        <v>-0.22807017543859642</v>
      </c>
      <c r="K23" s="193">
        <f t="shared" si="6"/>
        <v>73418.18181818182</v>
      </c>
      <c r="L23" s="194">
        <f t="shared" si="7"/>
        <v>49300.54385964912</v>
      </c>
      <c r="M23" s="192">
        <f t="shared" si="3"/>
        <v>0.4891961846747941</v>
      </c>
      <c r="N23" s="195">
        <f>E23/VLOOKUP($A23,Население!$A$1:$B$27,2,0)</f>
        <v>77.46576820699744</v>
      </c>
      <c r="O23" s="196">
        <f>F23/VLOOKUP($A23,Население!$A$1:$B$27,2,0)</f>
        <v>67.38761660391837</v>
      </c>
      <c r="P23" s="192">
        <f t="shared" si="4"/>
        <v>0.14955494957352514</v>
      </c>
      <c r="Q23" s="190">
        <f>VLOOKUP($A23,Grig1!$A$6:$P$58,8,0)</f>
        <v>3</v>
      </c>
      <c r="R23" s="200">
        <f>VLOOKUP($A23,Grig1!$A$6:$P$58,9,0)</f>
        <v>8</v>
      </c>
      <c r="S23" s="192">
        <f t="shared" si="5"/>
        <v>-0.625</v>
      </c>
      <c r="T23" s="195">
        <f>Q23/VLOOKUP($A23,Население!$A$1:$B$27,2,0)*10000</f>
        <v>0.7194072084602288</v>
      </c>
      <c r="U23" s="196">
        <f>R23/VLOOKUP($A23,Население!$A$1:$B$27,2,0)*10000</f>
        <v>1.91841922256061</v>
      </c>
      <c r="V23" s="192">
        <f t="shared" si="8"/>
        <v>-0.625</v>
      </c>
    </row>
    <row r="24" spans="1:22" ht="18.75">
      <c r="A24" s="201" t="str">
        <f>Grig1!A$50</f>
        <v>Ядринский</v>
      </c>
      <c r="B24" s="190">
        <f>VLOOKUP($A24,Grig1!$A$6:$P$58,2,0)</f>
        <v>39</v>
      </c>
      <c r="C24" s="200">
        <f>VLOOKUP($A24,Grig1!$A$6:$P$58,3,0)</f>
        <v>46</v>
      </c>
      <c r="D24" s="192">
        <f t="shared" si="0"/>
        <v>-0.15217391304347827</v>
      </c>
      <c r="E24" s="193">
        <f>VLOOKUP($A24,Grig1!$A$6:$P$58,5,0)</f>
        <v>1902500</v>
      </c>
      <c r="F24" s="194">
        <f>VLOOKUP($A24,Grig1!$A$6:$P$58,6,0)</f>
        <v>2589700</v>
      </c>
      <c r="G24" s="192">
        <f t="shared" si="1"/>
        <v>-0.2653589218828435</v>
      </c>
      <c r="H24" s="195">
        <f>B24/VLOOKUP($A24,Население!$A$1:$B$27,2,0)*10000</f>
        <v>13.343825914394225</v>
      </c>
      <c r="I24" s="196">
        <f>C24/VLOOKUP($A24,Население!$A$1:$B$27,2,0)*10000</f>
        <v>15.738871591336778</v>
      </c>
      <c r="J24" s="192">
        <f t="shared" si="2"/>
        <v>-0.15217391304347827</v>
      </c>
      <c r="K24" s="193">
        <f t="shared" si="6"/>
        <v>48782.05128205128</v>
      </c>
      <c r="L24" s="194">
        <f t="shared" si="7"/>
        <v>56297.82608695652</v>
      </c>
      <c r="M24" s="192">
        <f t="shared" si="3"/>
        <v>-0.13350026683617444</v>
      </c>
      <c r="N24" s="195">
        <f>E24/VLOOKUP($A24,Население!$A$1:$B$27,2,0)</f>
        <v>65.09392000547439</v>
      </c>
      <c r="O24" s="196">
        <f>F24/VLOOKUP($A24,Население!$A$1:$B$27,2,0)</f>
        <v>88.60642556540185</v>
      </c>
      <c r="P24" s="192">
        <f t="shared" si="4"/>
        <v>-0.2653589218828435</v>
      </c>
      <c r="Q24" s="190">
        <f>VLOOKUP($A24,Grig1!$A$6:$P$58,8,0)</f>
        <v>2</v>
      </c>
      <c r="R24" s="200">
        <f>VLOOKUP($A24,Grig1!$A$6:$P$58,9,0)</f>
        <v>5</v>
      </c>
      <c r="S24" s="192">
        <f t="shared" si="5"/>
        <v>-0.6</v>
      </c>
      <c r="T24" s="195">
        <f>Q24/VLOOKUP($A24,Население!$A$1:$B$27,2,0)*10000</f>
        <v>0.6842987648407295</v>
      </c>
      <c r="U24" s="196">
        <f>R24/VLOOKUP($A24,Население!$A$1:$B$27,2,0)*10000</f>
        <v>1.7107469121018237</v>
      </c>
      <c r="V24" s="192">
        <f t="shared" si="8"/>
        <v>-0.6</v>
      </c>
    </row>
    <row r="25" spans="1:22" ht="18.75">
      <c r="A25" s="201" t="str">
        <f>Grig1!A$52</f>
        <v>Яльчикский</v>
      </c>
      <c r="B25" s="190">
        <f>VLOOKUP($A25,Grig1!$A$6:$P$58,2,0)</f>
        <v>21</v>
      </c>
      <c r="C25" s="200">
        <f>VLOOKUP($A25,Grig1!$A$6:$P$58,3,0)</f>
        <v>18</v>
      </c>
      <c r="D25" s="192">
        <f t="shared" si="0"/>
        <v>0.1666666666666667</v>
      </c>
      <c r="E25" s="193">
        <f>VLOOKUP($A25,Grig1!$A$6:$P$58,5,0)</f>
        <v>802370</v>
      </c>
      <c r="F25" s="194">
        <f>VLOOKUP($A25,Grig1!$A$6:$P$58,6,0)</f>
        <v>697000</v>
      </c>
      <c r="G25" s="192">
        <f t="shared" si="1"/>
        <v>0.15117647058823536</v>
      </c>
      <c r="H25" s="195">
        <f>B25/VLOOKUP($A25,Население!$A$1:$B$27,2,0)*10000</f>
        <v>10.59856667003129</v>
      </c>
      <c r="I25" s="196">
        <f>C25/VLOOKUP($A25,Население!$A$1:$B$27,2,0)*10000</f>
        <v>9.084485717169677</v>
      </c>
      <c r="J25" s="192">
        <f t="shared" si="2"/>
        <v>0.16666666666666685</v>
      </c>
      <c r="K25" s="193">
        <f t="shared" si="6"/>
        <v>38208.09523809524</v>
      </c>
      <c r="L25" s="194">
        <f t="shared" si="7"/>
        <v>38722.22222222222</v>
      </c>
      <c r="M25" s="192">
        <f t="shared" si="3"/>
        <v>-0.01327731092436963</v>
      </c>
      <c r="N25" s="195">
        <f>E25/VLOOKUP($A25,Население!$A$1:$B$27,2,0)</f>
        <v>40.49510447158575</v>
      </c>
      <c r="O25" s="196">
        <f>F25/VLOOKUP($A25,Население!$A$1:$B$27,2,0)</f>
        <v>35.17714747148481</v>
      </c>
      <c r="P25" s="192">
        <f t="shared" si="4"/>
        <v>0.15117647058823522</v>
      </c>
      <c r="Q25" s="190">
        <f>VLOOKUP($A25,Grig1!$A$6:$P$58,8,0)</f>
        <v>0</v>
      </c>
      <c r="R25" s="200">
        <f>VLOOKUP($A25,Grig1!$A$6:$P$58,9,0)</f>
        <v>1</v>
      </c>
      <c r="S25" s="192">
        <f t="shared" si="5"/>
        <v>-1</v>
      </c>
      <c r="T25" s="195">
        <f>Q25/VLOOKUP($A25,Население!$A$1:$B$27,2,0)*10000</f>
        <v>0</v>
      </c>
      <c r="U25" s="196">
        <f>R25/VLOOKUP($A25,Население!$A$1:$B$27,2,0)*10000</f>
        <v>0.504693650953871</v>
      </c>
      <c r="V25" s="192">
        <f t="shared" si="8"/>
        <v>-1</v>
      </c>
    </row>
    <row r="26" spans="1:22" ht="18.75">
      <c r="A26" s="201" t="str">
        <f>Grig1!A$54</f>
        <v>Янтиковский</v>
      </c>
      <c r="B26" s="190">
        <f>VLOOKUP($A26,Grig1!$A$6:$P$58,2,0)</f>
        <v>17</v>
      </c>
      <c r="C26" s="200">
        <f>VLOOKUP($A26,Grig1!$A$6:$P$58,3,0)</f>
        <v>19</v>
      </c>
      <c r="D26" s="192">
        <f t="shared" si="0"/>
        <v>-0.10526315789473685</v>
      </c>
      <c r="E26" s="193">
        <f>VLOOKUP($A26,Grig1!$A$6:$P$58,5,0)</f>
        <v>748500</v>
      </c>
      <c r="F26" s="194">
        <f>VLOOKUP($A26,Grig1!$A$6:$P$58,6,0)</f>
        <v>1249000</v>
      </c>
      <c r="G26" s="192">
        <f t="shared" si="1"/>
        <v>-0.400720576461169</v>
      </c>
      <c r="H26" s="195">
        <f>B26/VLOOKUP($A26,Население!$A$1:$B$27,2,0)*10000</f>
        <v>10.534795810869431</v>
      </c>
      <c r="I26" s="196">
        <f>C26/VLOOKUP($A26,Население!$A$1:$B$27,2,0)*10000</f>
        <v>11.774183553324656</v>
      </c>
      <c r="J26" s="192">
        <f t="shared" si="2"/>
        <v>-0.10526315789473656</v>
      </c>
      <c r="K26" s="193">
        <f t="shared" si="6"/>
        <v>44029.41176470588</v>
      </c>
      <c r="L26" s="194">
        <f t="shared" si="7"/>
        <v>65736.84210526316</v>
      </c>
      <c r="M26" s="192">
        <f t="shared" si="3"/>
        <v>-0.33021711486836536</v>
      </c>
      <c r="N26" s="195">
        <f>E26/VLOOKUP($A26,Население!$A$1:$B$27,2,0)</f>
        <v>46.38408626138688</v>
      </c>
      <c r="O26" s="196">
        <f>F26/VLOOKUP($A26,Население!$A$1:$B$27,2,0)</f>
        <v>77.39976451632893</v>
      </c>
      <c r="P26" s="192">
        <f t="shared" si="4"/>
        <v>-0.4007205764611689</v>
      </c>
      <c r="Q26" s="190">
        <f>VLOOKUP($A26,Grig1!$A$6:$P$58,8,0)</f>
        <v>2</v>
      </c>
      <c r="R26" s="200">
        <f>VLOOKUP($A26,Grig1!$A$6:$P$58,9,0)</f>
        <v>0</v>
      </c>
      <c r="S26" s="192" t="str">
        <f t="shared" si="5"/>
        <v>--</v>
      </c>
      <c r="T26" s="195">
        <f>Q26/VLOOKUP($A26,Население!$A$1:$B$27,2,0)*10000</f>
        <v>1.239387742455227</v>
      </c>
      <c r="U26" s="196">
        <f>R26/VLOOKUP($A26,Население!$A$1:$B$27,2,0)*10000</f>
        <v>0</v>
      </c>
      <c r="V26" s="192" t="str">
        <f t="shared" si="8"/>
        <v>--</v>
      </c>
    </row>
    <row r="27" spans="1:22" ht="18.75">
      <c r="A27" s="201" t="str">
        <f>Grig1!A$7</f>
        <v>Ленинский</v>
      </c>
      <c r="B27" s="190">
        <f>VLOOKUP($A27,Grig1!$A$6:$P$58,2,0)</f>
        <v>62</v>
      </c>
      <c r="C27" s="200">
        <f>VLOOKUP($A27,Grig1!$A$6:$P$58,3,0)</f>
        <v>58</v>
      </c>
      <c r="D27" s="192">
        <f t="shared" si="0"/>
        <v>0.06896551724137936</v>
      </c>
      <c r="E27" s="193">
        <f>VLOOKUP($A27,Grig1!$A$6:$P$58,5,0)</f>
        <v>7965575</v>
      </c>
      <c r="F27" s="194">
        <f>VLOOKUP($A27,Grig1!$A$6:$P$58,6,0)</f>
        <v>4055278</v>
      </c>
      <c r="G27" s="192">
        <f t="shared" si="1"/>
        <v>0.964248813521539</v>
      </c>
      <c r="H27" s="195">
        <f>B27/VLOOKUP($A27,Население!$A$1:$B$27,2,0)*10000</f>
        <v>5.0241076131437135</v>
      </c>
      <c r="I27" s="196">
        <f>C27/VLOOKUP($A27,Население!$A$1:$B$27,2,0)*10000</f>
        <v>4.699971638102184</v>
      </c>
      <c r="J27" s="192">
        <f t="shared" si="2"/>
        <v>0.06896551724137921</v>
      </c>
      <c r="K27" s="193">
        <f t="shared" si="6"/>
        <v>128477.01612903226</v>
      </c>
      <c r="L27" s="194">
        <f t="shared" si="7"/>
        <v>69918.58620689655</v>
      </c>
      <c r="M27" s="192">
        <f t="shared" si="3"/>
        <v>0.8375230836169237</v>
      </c>
      <c r="N27" s="195">
        <f>E27/VLOOKUP($A27,Население!$A$1:$B$27,2,0)</f>
        <v>64.54823548478586</v>
      </c>
      <c r="O27" s="196">
        <f>F27/VLOOKUP($A27,Население!$A$1:$B$27,2,0)</f>
        <v>32.861537214861634</v>
      </c>
      <c r="P27" s="192">
        <f t="shared" si="4"/>
        <v>0.964248813521539</v>
      </c>
      <c r="Q27" s="190">
        <f>VLOOKUP($A27,Grig1!$A$6:$P$58,8,0)</f>
        <v>5</v>
      </c>
      <c r="R27" s="200">
        <f>VLOOKUP($A27,Grig1!$A$6:$P$58,9,0)</f>
        <v>3</v>
      </c>
      <c r="S27" s="192">
        <f t="shared" si="5"/>
        <v>0.6666666666666665</v>
      </c>
      <c r="T27" s="195">
        <f>Q27/VLOOKUP($A27,Население!$A$1:$B$27,2,0)*10000</f>
        <v>0.40516996880191236</v>
      </c>
      <c r="U27" s="196">
        <f>R27/VLOOKUP($A27,Население!$A$1:$B$27,2,0)*10000</f>
        <v>0.24310198128114743</v>
      </c>
      <c r="V27" s="192">
        <f t="shared" si="8"/>
        <v>0.6666666666666665</v>
      </c>
    </row>
    <row r="28" spans="1:22" ht="18.75">
      <c r="A28" s="201" t="str">
        <f>Grig1!A$8</f>
        <v>Московский</v>
      </c>
      <c r="B28" s="190">
        <f>VLOOKUP($A28,Grig1!$A$6:$P$58,2,0)</f>
        <v>76</v>
      </c>
      <c r="C28" s="200">
        <f>VLOOKUP($A28,Grig1!$A$6:$P$58,3,0)</f>
        <v>84</v>
      </c>
      <c r="D28" s="192">
        <f t="shared" si="0"/>
        <v>-0.09523809523809518</v>
      </c>
      <c r="E28" s="193">
        <f>VLOOKUP($A28,Grig1!$A$6:$P$58,5,0)</f>
        <v>4174505</v>
      </c>
      <c r="F28" s="194">
        <f>VLOOKUP($A28,Grig1!$A$6:$P$58,6,0)</f>
        <v>5800179</v>
      </c>
      <c r="G28" s="192">
        <f t="shared" si="1"/>
        <v>-0.2802799706698707</v>
      </c>
      <c r="H28" s="195">
        <f>B28/VLOOKUP($A28,Население!$A$1:$B$27,2,0)*10000</f>
        <v>4.063084736701416</v>
      </c>
      <c r="I28" s="196">
        <f>C28/VLOOKUP($A28,Население!$A$1:$B$27,2,0)*10000</f>
        <v>4.490777866880514</v>
      </c>
      <c r="J28" s="192">
        <f t="shared" si="2"/>
        <v>-0.09523809523809547</v>
      </c>
      <c r="K28" s="193">
        <f t="shared" si="6"/>
        <v>54927.69736842105</v>
      </c>
      <c r="L28" s="194">
        <f t="shared" si="7"/>
        <v>69049.75</v>
      </c>
      <c r="M28" s="192">
        <f t="shared" si="3"/>
        <v>-0.20451996758248867</v>
      </c>
      <c r="N28" s="195">
        <f>E28/VLOOKUP($A28,Население!$A$1:$B$27,2,0)</f>
        <v>22.317588879978615</v>
      </c>
      <c r="O28" s="196">
        <f>F28/VLOOKUP($A28,Население!$A$1:$B$27,2,0)</f>
        <v>31.00870890136327</v>
      </c>
      <c r="P28" s="192">
        <f t="shared" si="4"/>
        <v>-0.2802799706698707</v>
      </c>
      <c r="Q28" s="190">
        <f>VLOOKUP($A28,Grig1!$A$6:$P$58,8,0)</f>
        <v>9</v>
      </c>
      <c r="R28" s="200">
        <f>VLOOKUP($A28,Grig1!$A$6:$P$58,9,0)</f>
        <v>8</v>
      </c>
      <c r="S28" s="192">
        <f t="shared" si="5"/>
        <v>0.125</v>
      </c>
      <c r="T28" s="195">
        <f>Q28/VLOOKUP($A28,Население!$A$1:$B$27,2,0)*10000</f>
        <v>0.48115477145148355</v>
      </c>
      <c r="U28" s="196">
        <f>R28/VLOOKUP($A28,Население!$A$1:$B$27,2,0)*10000</f>
        <v>0.4276931301790965</v>
      </c>
      <c r="V28" s="192">
        <f t="shared" si="8"/>
        <v>0.125</v>
      </c>
    </row>
    <row r="29" spans="1:22" ht="18.75">
      <c r="A29" s="203" t="str">
        <f>Grig1!A$9</f>
        <v>Калининский</v>
      </c>
      <c r="B29" s="204">
        <f>VLOOKUP($A29,Grig1!$A$6:$P$58,2,0)</f>
        <v>90</v>
      </c>
      <c r="C29" s="205">
        <f>VLOOKUP($A29,Grig1!$A$6:$P$58,3,0)</f>
        <v>92</v>
      </c>
      <c r="D29" s="206">
        <f t="shared" si="0"/>
        <v>-0.021739130434782653</v>
      </c>
      <c r="E29" s="207">
        <f>VLOOKUP($A29,Grig1!$A$6:$P$58,5,0)</f>
        <v>7582326</v>
      </c>
      <c r="F29" s="208">
        <f>VLOOKUP($A29,Grig1!$A$6:$P$58,6,0)</f>
        <v>4153100</v>
      </c>
      <c r="G29" s="206">
        <f t="shared" si="1"/>
        <v>0.825702728082637</v>
      </c>
      <c r="H29" s="226">
        <f>B29/VLOOKUP($A29,Население!$A$1:$B$27,2,0)*10000</f>
        <v>6.002881383063871</v>
      </c>
      <c r="I29" s="227">
        <f>C29/VLOOKUP($A29,Население!$A$1:$B$27,2,0)*10000</f>
        <v>6.136278747131957</v>
      </c>
      <c r="J29" s="206">
        <f t="shared" si="2"/>
        <v>-0.021739130434782653</v>
      </c>
      <c r="K29" s="207">
        <f t="shared" si="6"/>
        <v>84248.06666666667</v>
      </c>
      <c r="L29" s="208">
        <f t="shared" si="7"/>
        <v>45142.391304347824</v>
      </c>
      <c r="M29" s="206">
        <f t="shared" si="3"/>
        <v>0.8662738998178068</v>
      </c>
      <c r="N29" s="226">
        <f>E29/VLOOKUP($A29,Население!$A$1:$B$27,2,0)</f>
        <v>50.57311509524572</v>
      </c>
      <c r="O29" s="227">
        <f>F29/VLOOKUP($A29,Население!$A$1:$B$27,2,0)</f>
        <v>27.7006296355584</v>
      </c>
      <c r="P29" s="206">
        <f t="shared" si="4"/>
        <v>0.8257027280826372</v>
      </c>
      <c r="Q29" s="204">
        <f>VLOOKUP($A29,Grig1!$A$6:$P$58,8,0)</f>
        <v>7</v>
      </c>
      <c r="R29" s="205">
        <f>VLOOKUP($A29,Grig1!$A$6:$P$58,9,0)</f>
        <v>5</v>
      </c>
      <c r="S29" s="206">
        <f t="shared" si="5"/>
        <v>0.4</v>
      </c>
      <c r="T29" s="226">
        <f>Q29/VLOOKUP($A29,Население!$A$1:$B$27,2,0)*10000</f>
        <v>0.46689077423830105</v>
      </c>
      <c r="U29" s="227">
        <f>R29/VLOOKUP($A29,Население!$A$1:$B$27,2,0)*10000</f>
        <v>0.333493410170215</v>
      </c>
      <c r="V29" s="206">
        <f t="shared" si="8"/>
        <v>0.4000000000000003</v>
      </c>
    </row>
    <row r="30" spans="1:22" ht="18.75">
      <c r="A30" s="212" t="str">
        <f>Grig1!A$58</f>
        <v>По республике</v>
      </c>
      <c r="B30" s="213">
        <f>SUM(B5:B29)</f>
        <v>1037</v>
      </c>
      <c r="C30" s="214">
        <f>SUM(C5:C29)</f>
        <v>1087</v>
      </c>
      <c r="D30" s="215">
        <f t="shared" si="0"/>
        <v>-0.04599816007359706</v>
      </c>
      <c r="E30" s="216">
        <f>SUM(E5:E29)</f>
        <v>75244277</v>
      </c>
      <c r="F30" s="217">
        <f>SUM(F5:F29)</f>
        <v>63029867</v>
      </c>
      <c r="G30" s="215">
        <f t="shared" si="1"/>
        <v>0.1937876530819905</v>
      </c>
      <c r="H30" s="218">
        <f>B30/VLOOKUP($A30,Население!$A$1:$B$27,2,0)*10000</f>
        <v>8.315878275429586</v>
      </c>
      <c r="I30" s="219">
        <f>C30/VLOOKUP($A30,Население!$A$1:$B$27,2,0)*10000</f>
        <v>8.716836726511053</v>
      </c>
      <c r="J30" s="215">
        <f t="shared" si="2"/>
        <v>-0.04599816007359721</v>
      </c>
      <c r="K30" s="216">
        <f t="shared" si="6"/>
        <v>72559.57280617165</v>
      </c>
      <c r="L30" s="217">
        <f t="shared" si="7"/>
        <v>57985.158233670656</v>
      </c>
      <c r="M30" s="215">
        <f t="shared" si="3"/>
        <v>0.2513473277725397</v>
      </c>
      <c r="N30" s="218">
        <f>E30/VLOOKUP($A30,Население!$A$1:$B$27,2,0)</f>
        <v>60.33965751732942</v>
      </c>
      <c r="O30" s="219">
        <f>F30/VLOOKUP($A30,Население!$A$1:$B$27,2,0)</f>
        <v>50.54471568838151</v>
      </c>
      <c r="P30" s="215">
        <f t="shared" si="4"/>
        <v>0.1937876530819905</v>
      </c>
      <c r="Q30" s="213">
        <f>VLOOKUP($A30,Grig1!$A$6:$P$58,8,0)</f>
        <v>92</v>
      </c>
      <c r="R30" s="214">
        <f>VLOOKUP($A30,Grig1!$A$6:$P$58,9,0)</f>
        <v>102</v>
      </c>
      <c r="S30" s="215">
        <f t="shared" si="5"/>
        <v>-0.09803921568627444</v>
      </c>
      <c r="T30" s="218">
        <f>Q30/VLOOKUP($A30,Население!$A$1:$B$27,2,0)*10000</f>
        <v>0.7377635499898959</v>
      </c>
      <c r="U30" s="219">
        <f>R30/VLOOKUP($A30,Население!$A$1:$B$27,2,0)*10000</f>
        <v>0.8179552402061889</v>
      </c>
      <c r="V30" s="215">
        <f t="shared" si="8"/>
        <v>-0.09803921568627444</v>
      </c>
    </row>
  </sheetData>
  <sheetProtection selectLockedCells="1" selectUnlockedCells="1"/>
  <mergeCells count="9">
    <mergeCell ref="T3:V3"/>
    <mergeCell ref="A1:S1"/>
    <mergeCell ref="A2:S2"/>
    <mergeCell ref="B3:D3"/>
    <mergeCell ref="E3:G3"/>
    <mergeCell ref="H3:J3"/>
    <mergeCell ref="K3:M3"/>
    <mergeCell ref="N3:P3"/>
    <mergeCell ref="Q3:S3"/>
  </mergeCells>
  <printOptions/>
  <pageMargins left="0.39375" right="0.39375" top="0.7875" bottom="0.39375" header="0.5118055555555555" footer="0.5118055555555555"/>
  <pageSetup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workbookViewId="0" topLeftCell="A16">
      <selection activeCell="E7" sqref="E7"/>
    </sheetView>
  </sheetViews>
  <sheetFormatPr defaultColWidth="9.140625" defaultRowHeight="12.75"/>
  <cols>
    <col min="1" max="1" width="26.421875" style="228" customWidth="1"/>
    <col min="2" max="3" width="6.57421875" style="229" customWidth="1"/>
    <col min="4" max="4" width="7.421875" style="229" customWidth="1"/>
    <col min="5" max="6" width="9.00390625" style="229" customWidth="1"/>
    <col min="7" max="7" width="7.57421875" style="229" customWidth="1"/>
    <col min="8" max="8" width="10.28125" style="229" customWidth="1"/>
    <col min="9" max="9" width="23.00390625" style="229" customWidth="1"/>
    <col min="10" max="11" width="6.421875" style="229" customWidth="1"/>
    <col min="12" max="12" width="9.57421875" style="229" customWidth="1"/>
    <col min="13" max="14" width="9.00390625" style="229" customWidth="1"/>
    <col min="15" max="15" width="9.57421875" style="229" customWidth="1"/>
    <col min="16" max="16384" width="10.28125" style="229" customWidth="1"/>
  </cols>
  <sheetData>
    <row r="1" spans="1:15" ht="12.75" customHeight="1">
      <c r="A1" s="580" t="s">
        <v>145</v>
      </c>
      <c r="B1" s="580"/>
      <c r="C1" s="580"/>
      <c r="D1" s="580"/>
      <c r="E1" s="580"/>
      <c r="F1" s="580"/>
      <c r="G1" s="580"/>
      <c r="I1" s="580" t="s">
        <v>146</v>
      </c>
      <c r="J1" s="580"/>
      <c r="K1" s="580"/>
      <c r="L1" s="580"/>
      <c r="M1" s="580"/>
      <c r="N1" s="580"/>
      <c r="O1" s="580"/>
    </row>
    <row r="2" spans="1:15" ht="12.75" customHeight="1">
      <c r="A2" s="580" t="s">
        <v>147</v>
      </c>
      <c r="B2" s="580"/>
      <c r="C2" s="580"/>
      <c r="D2" s="580"/>
      <c r="E2" s="580"/>
      <c r="F2" s="580"/>
      <c r="G2" s="580"/>
      <c r="I2" s="580" t="s">
        <v>148</v>
      </c>
      <c r="J2" s="580"/>
      <c r="K2" s="580"/>
      <c r="L2" s="580"/>
      <c r="M2" s="580"/>
      <c r="N2" s="580"/>
      <c r="O2" s="580"/>
    </row>
    <row r="3" spans="1:15" ht="10.5" customHeight="1">
      <c r="A3" s="581" t="s">
        <v>112</v>
      </c>
      <c r="B3" s="230">
        <v>2005</v>
      </c>
      <c r="C3" s="230">
        <v>2004</v>
      </c>
      <c r="D3" s="231"/>
      <c r="E3" s="230" t="str">
        <f>Комментарии!I19</f>
        <v>2008</v>
      </c>
      <c r="F3" s="230" t="str">
        <f>Комментарии!J19</f>
        <v>2007</v>
      </c>
      <c r="G3" s="232"/>
      <c r="I3" s="582"/>
      <c r="J3" s="230">
        <v>2005</v>
      </c>
      <c r="K3" s="230">
        <v>2004</v>
      </c>
      <c r="L3" s="231"/>
      <c r="M3" s="230" t="str">
        <f>Комментарии!I19</f>
        <v>2008</v>
      </c>
      <c r="N3" s="230" t="str">
        <f>Комментарии!J19</f>
        <v>2007</v>
      </c>
      <c r="O3" s="233"/>
    </row>
    <row r="4" spans="1:15" ht="10.5" customHeight="1">
      <c r="A4" s="581"/>
      <c r="B4" s="234"/>
      <c r="C4" s="234"/>
      <c r="D4" s="235" t="s">
        <v>149</v>
      </c>
      <c r="E4" s="236" t="str">
        <f>Комментарии!J18</f>
        <v>1.10.</v>
      </c>
      <c r="F4" s="237" t="str">
        <f>Комментарии!J18</f>
        <v>1.10.</v>
      </c>
      <c r="G4" s="238" t="s">
        <v>149</v>
      </c>
      <c r="I4" s="582"/>
      <c r="J4" s="235" t="s">
        <v>150</v>
      </c>
      <c r="K4" s="239" t="s">
        <v>150</v>
      </c>
      <c r="L4" s="239" t="s">
        <v>149</v>
      </c>
      <c r="M4" s="236" t="str">
        <f>Комментарии!J18</f>
        <v>1.10.</v>
      </c>
      <c r="N4" s="237" t="str">
        <f>Комментарии!J18</f>
        <v>1.10.</v>
      </c>
      <c r="O4" s="240" t="s">
        <v>149</v>
      </c>
    </row>
    <row r="5" spans="1:15" ht="10.5" customHeight="1">
      <c r="A5" s="581"/>
      <c r="B5" s="234"/>
      <c r="C5" s="234"/>
      <c r="D5" s="235" t="s">
        <v>151</v>
      </c>
      <c r="E5" s="239"/>
      <c r="F5" s="239"/>
      <c r="G5" s="238" t="s">
        <v>151</v>
      </c>
      <c r="I5" s="582"/>
      <c r="J5" s="235"/>
      <c r="K5" s="239"/>
      <c r="L5" s="239" t="s">
        <v>151</v>
      </c>
      <c r="M5" s="239" t="s">
        <v>150</v>
      </c>
      <c r="N5" s="239" t="s">
        <v>150</v>
      </c>
      <c r="O5" s="240" t="s">
        <v>151</v>
      </c>
    </row>
    <row r="6" spans="1:15" ht="10.5" customHeight="1">
      <c r="A6" s="581"/>
      <c r="B6" s="241"/>
      <c r="C6" s="241"/>
      <c r="D6" s="242"/>
      <c r="E6" s="243"/>
      <c r="F6" s="243"/>
      <c r="G6" s="244"/>
      <c r="I6" s="582"/>
      <c r="J6" s="235"/>
      <c r="K6" s="239"/>
      <c r="L6" s="245"/>
      <c r="M6" s="235"/>
      <c r="N6" s="239"/>
      <c r="O6" s="246"/>
    </row>
    <row r="7" spans="1:15" ht="10.5" customHeight="1">
      <c r="A7" s="247" t="s">
        <v>152</v>
      </c>
      <c r="B7" s="248">
        <v>1645</v>
      </c>
      <c r="C7" s="249">
        <v>1682</v>
      </c>
      <c r="D7" s="250">
        <f aca="true" t="shared" si="0" ref="D7:D15">(((B7*100)/C7)-100)/100</f>
        <v>-0.02199762187871585</v>
      </c>
      <c r="E7" s="251">
        <f>Grig1!B58</f>
        <v>1037</v>
      </c>
      <c r="F7" s="252">
        <f>Grig1!C58</f>
        <v>1087</v>
      </c>
      <c r="G7" s="253">
        <f aca="true" t="shared" si="1" ref="G7:G15">(((E7*100)/F7)-100)/100</f>
        <v>-0.04599816007359706</v>
      </c>
      <c r="I7" s="582"/>
      <c r="J7" s="242"/>
      <c r="K7" s="243"/>
      <c r="L7" s="243"/>
      <c r="M7" s="254"/>
      <c r="N7" s="255"/>
      <c r="O7" s="256"/>
    </row>
    <row r="8" spans="1:15" ht="10.5" customHeight="1">
      <c r="A8" s="257" t="s">
        <v>153</v>
      </c>
      <c r="B8" s="258">
        <v>752</v>
      </c>
      <c r="C8" s="259">
        <v>842</v>
      </c>
      <c r="D8" s="260">
        <f t="shared" si="0"/>
        <v>-0.10688836104513058</v>
      </c>
      <c r="E8" s="261" t="e">
        <f>Grig1!B56</f>
        <v>#VALUE!</v>
      </c>
      <c r="F8" s="262">
        <f>Grig1!C56</f>
        <v>1443</v>
      </c>
      <c r="G8" s="263" t="e">
        <f t="shared" si="1"/>
        <v>#VALUE!</v>
      </c>
      <c r="I8" s="247" t="s">
        <v>154</v>
      </c>
      <c r="J8" s="248">
        <v>130</v>
      </c>
      <c r="K8" s="249">
        <v>133</v>
      </c>
      <c r="L8" s="250">
        <f>(((J8*100)/K8)-100)/100</f>
        <v>-0.022556390977443642</v>
      </c>
      <c r="M8" s="251">
        <f>Grig2!B42</f>
        <v>0</v>
      </c>
      <c r="N8" s="252">
        <f>Grig2!C42</f>
        <v>0</v>
      </c>
      <c r="O8" s="264" t="e">
        <f>(((M8*100)/N8)-100)/100</f>
        <v>#DIV/0!</v>
      </c>
    </row>
    <row r="9" spans="1:15" ht="10.5" customHeight="1">
      <c r="A9" s="257" t="s">
        <v>155</v>
      </c>
      <c r="B9" s="258">
        <v>893</v>
      </c>
      <c r="C9" s="259">
        <v>840</v>
      </c>
      <c r="D9" s="260">
        <f t="shared" si="0"/>
        <v>0.06309523809523811</v>
      </c>
      <c r="E9" s="261" t="e">
        <f>Grig1!B57</f>
        <v>#VALUE!</v>
      </c>
      <c r="F9" s="262">
        <f>Grig1!C57</f>
        <v>-356</v>
      </c>
      <c r="G9" s="263" t="e">
        <f t="shared" si="1"/>
        <v>#VALUE!</v>
      </c>
      <c r="I9" s="583" t="s">
        <v>156</v>
      </c>
      <c r="J9" s="265">
        <v>456</v>
      </c>
      <c r="K9" s="265">
        <v>512</v>
      </c>
      <c r="L9" s="584">
        <f aca="true" t="shared" si="2" ref="L9:L22">(((J9*100)/K9)-100)/100</f>
        <v>-0.109375</v>
      </c>
      <c r="M9" s="585">
        <f>Grig2!B35</f>
        <v>0</v>
      </c>
      <c r="N9" s="585">
        <f>Grig2!C35</f>
        <v>0</v>
      </c>
      <c r="O9" s="586" t="e">
        <f aca="true" t="shared" si="3" ref="O9:O19">(((M9*100)/N9)-100)/100</f>
        <v>#DIV/0!</v>
      </c>
    </row>
    <row r="10" spans="1:15" ht="12.75" customHeight="1">
      <c r="A10" s="257" t="s">
        <v>157</v>
      </c>
      <c r="B10" s="267">
        <v>12.09</v>
      </c>
      <c r="C10" s="268">
        <v>12.36</v>
      </c>
      <c r="D10" s="260">
        <f t="shared" si="0"/>
        <v>-0.021844660194174706</v>
      </c>
      <c r="E10" s="269">
        <f>E7/136.09</f>
        <v>7.619957381144831</v>
      </c>
      <c r="F10" s="270">
        <f>F7/136.09</f>
        <v>7.987361305018737</v>
      </c>
      <c r="G10" s="263">
        <f t="shared" si="1"/>
        <v>-0.04599816007359706</v>
      </c>
      <c r="I10" s="583"/>
      <c r="J10" s="249"/>
      <c r="K10" s="249"/>
      <c r="L10" s="584"/>
      <c r="M10" s="585"/>
      <c r="N10" s="585"/>
      <c r="O10" s="586"/>
    </row>
    <row r="11" spans="1:15" ht="10.5" customHeight="1">
      <c r="A11" s="257" t="s">
        <v>158</v>
      </c>
      <c r="B11" s="271">
        <v>29.35</v>
      </c>
      <c r="C11" s="272">
        <v>24.55</v>
      </c>
      <c r="D11" s="260">
        <f t="shared" si="0"/>
        <v>0.19551934826883907</v>
      </c>
      <c r="E11" s="273">
        <f>Grig1!E58/1000000</f>
        <v>75.244277</v>
      </c>
      <c r="F11" s="274">
        <f>Grig1!F58/1000000</f>
        <v>63.029867</v>
      </c>
      <c r="G11" s="263">
        <f t="shared" si="1"/>
        <v>0.19378765308199036</v>
      </c>
      <c r="I11" s="583" t="s">
        <v>95</v>
      </c>
      <c r="J11" s="265">
        <v>607</v>
      </c>
      <c r="K11" s="265">
        <v>607</v>
      </c>
      <c r="L11" s="584">
        <f t="shared" si="2"/>
        <v>0</v>
      </c>
      <c r="M11" s="585">
        <f>Grig2!B32</f>
        <v>0</v>
      </c>
      <c r="N11" s="585">
        <f>Grig2!C32</f>
        <v>0</v>
      </c>
      <c r="O11" s="586" t="e">
        <f t="shared" si="3"/>
        <v>#DIV/0!</v>
      </c>
    </row>
    <row r="12" spans="1:15" ht="11.25" customHeight="1">
      <c r="A12" s="257" t="s">
        <v>159</v>
      </c>
      <c r="B12" s="275">
        <v>17843</v>
      </c>
      <c r="C12" s="276">
        <v>14595</v>
      </c>
      <c r="D12" s="260">
        <f t="shared" si="0"/>
        <v>0.22254196642685856</v>
      </c>
      <c r="E12" s="277">
        <f>E11/E7*1000000</f>
        <v>72559.57280617165</v>
      </c>
      <c r="F12" s="278">
        <f>F11/F7*1000000</f>
        <v>57985.158233670656</v>
      </c>
      <c r="G12" s="263">
        <f t="shared" si="1"/>
        <v>0.2513473277725397</v>
      </c>
      <c r="I12" s="583"/>
      <c r="J12" s="249"/>
      <c r="K12" s="249"/>
      <c r="L12" s="584"/>
      <c r="M12" s="585"/>
      <c r="N12" s="585"/>
      <c r="O12" s="586"/>
    </row>
    <row r="13" spans="1:15" ht="11.25" customHeight="1">
      <c r="A13" s="257" t="s">
        <v>160</v>
      </c>
      <c r="B13" s="267">
        <v>21.57</v>
      </c>
      <c r="C13" s="268">
        <v>18.04</v>
      </c>
      <c r="D13" s="260">
        <f t="shared" si="0"/>
        <v>0.1956762749445677</v>
      </c>
      <c r="E13" s="269">
        <f>E11/1.3609</f>
        <v>55.290085237710336</v>
      </c>
      <c r="F13" s="270">
        <f>F11/1.3609</f>
        <v>46.31484091410096</v>
      </c>
      <c r="G13" s="263">
        <f t="shared" si="1"/>
        <v>0.1937876530819905</v>
      </c>
      <c r="I13" s="247" t="s">
        <v>161</v>
      </c>
      <c r="J13" s="248">
        <v>228</v>
      </c>
      <c r="K13" s="249">
        <v>247</v>
      </c>
      <c r="L13" s="250">
        <f t="shared" si="2"/>
        <v>-0.07692307692307693</v>
      </c>
      <c r="M13" s="251">
        <f>Grig2!B51</f>
        <v>0</v>
      </c>
      <c r="N13" s="252">
        <f>Grig2!C51</f>
        <v>0</v>
      </c>
      <c r="O13" s="279" t="e">
        <f t="shared" si="3"/>
        <v>#DIV/0!</v>
      </c>
    </row>
    <row r="14" spans="1:15" ht="10.5" customHeight="1">
      <c r="A14" s="257" t="s">
        <v>142</v>
      </c>
      <c r="B14" s="248">
        <v>139</v>
      </c>
      <c r="C14" s="249">
        <v>145</v>
      </c>
      <c r="D14" s="260">
        <f t="shared" si="0"/>
        <v>-0.04137931034482761</v>
      </c>
      <c r="E14" s="251">
        <f>Grig1!H58</f>
        <v>92</v>
      </c>
      <c r="F14" s="252">
        <f>Grig1!I58</f>
        <v>102</v>
      </c>
      <c r="G14" s="263">
        <f t="shared" si="1"/>
        <v>-0.09803921568627444</v>
      </c>
      <c r="I14" s="583" t="s">
        <v>162</v>
      </c>
      <c r="J14" s="265">
        <v>289</v>
      </c>
      <c r="K14" s="265">
        <v>242</v>
      </c>
      <c r="L14" s="584">
        <f t="shared" si="2"/>
        <v>0.19421487603305793</v>
      </c>
      <c r="M14" s="585">
        <f>Grig2!B38</f>
        <v>0</v>
      </c>
      <c r="N14" s="585">
        <f>Grig2!C38</f>
        <v>0</v>
      </c>
      <c r="O14" s="586" t="e">
        <f t="shared" si="3"/>
        <v>#DIV/0!</v>
      </c>
    </row>
    <row r="15" spans="1:15" ht="12" customHeight="1">
      <c r="A15" s="280" t="s">
        <v>163</v>
      </c>
      <c r="B15" s="281">
        <v>1.02</v>
      </c>
      <c r="C15" s="282">
        <v>1.07</v>
      </c>
      <c r="D15" s="283">
        <f t="shared" si="0"/>
        <v>-0.04672897196261687</v>
      </c>
      <c r="E15" s="284">
        <f>E14/136.09</f>
        <v>0.6760232199279889</v>
      </c>
      <c r="F15" s="285">
        <f>F14/136.09</f>
        <v>0.7495040047027702</v>
      </c>
      <c r="G15" s="286">
        <f t="shared" si="1"/>
        <v>-0.09803921568627444</v>
      </c>
      <c r="I15" s="583"/>
      <c r="J15" s="249"/>
      <c r="K15" s="249"/>
      <c r="L15" s="584"/>
      <c r="M15" s="585"/>
      <c r="N15" s="585"/>
      <c r="O15" s="586"/>
    </row>
    <row r="16" spans="1:15" ht="15.75" customHeight="1">
      <c r="A16" s="587" t="s">
        <v>164</v>
      </c>
      <c r="B16" s="587"/>
      <c r="C16" s="587"/>
      <c r="D16" s="587"/>
      <c r="E16" s="587"/>
      <c r="F16" s="587"/>
      <c r="G16" s="587"/>
      <c r="I16" s="247" t="s">
        <v>165</v>
      </c>
      <c r="J16" s="248">
        <v>87</v>
      </c>
      <c r="K16" s="249">
        <v>78</v>
      </c>
      <c r="L16" s="250">
        <f t="shared" si="2"/>
        <v>0.11538461538461534</v>
      </c>
      <c r="M16" s="251">
        <f>Grig2!B34</f>
        <v>0</v>
      </c>
      <c r="N16" s="252">
        <f>Grig2!C34</f>
        <v>0</v>
      </c>
      <c r="O16" s="279" t="e">
        <f t="shared" si="3"/>
        <v>#DIV/0!</v>
      </c>
    </row>
    <row r="17" spans="1:15" ht="10.5" customHeight="1">
      <c r="A17" s="582"/>
      <c r="B17" s="230">
        <v>2005</v>
      </c>
      <c r="C17" s="230">
        <v>2004</v>
      </c>
      <c r="D17" s="231"/>
      <c r="E17" s="230" t="str">
        <f>Комментарии!I19</f>
        <v>2008</v>
      </c>
      <c r="F17" s="230" t="str">
        <f>Комментарии!J19</f>
        <v>2007</v>
      </c>
      <c r="G17" s="232"/>
      <c r="I17" s="583" t="s">
        <v>166</v>
      </c>
      <c r="J17" s="265">
        <v>11</v>
      </c>
      <c r="K17" s="265">
        <v>16</v>
      </c>
      <c r="L17" s="584">
        <f t="shared" si="2"/>
        <v>-0.3125</v>
      </c>
      <c r="M17" s="585">
        <f>Grig2!B45</f>
        <v>0</v>
      </c>
      <c r="N17" s="585">
        <f>Grig2!C45</f>
        <v>0</v>
      </c>
      <c r="O17" s="287" t="e">
        <f t="shared" si="3"/>
        <v>#DIV/0!</v>
      </c>
    </row>
    <row r="18" spans="1:15" ht="12" customHeight="1">
      <c r="A18" s="582"/>
      <c r="B18" s="239"/>
      <c r="C18" s="239"/>
      <c r="D18" s="235" t="s">
        <v>149</v>
      </c>
      <c r="E18" s="236" t="str">
        <f>Комментарии!J18</f>
        <v>1.10.</v>
      </c>
      <c r="F18" s="237" t="str">
        <f>Комментарии!J18</f>
        <v>1.10.</v>
      </c>
      <c r="G18" s="238" t="s">
        <v>149</v>
      </c>
      <c r="I18" s="583"/>
      <c r="J18" s="249"/>
      <c r="K18" s="249"/>
      <c r="L18" s="584"/>
      <c r="M18" s="585"/>
      <c r="N18" s="585"/>
      <c r="O18" s="279"/>
    </row>
    <row r="19" spans="1:15" ht="10.5" customHeight="1">
      <c r="A19" s="582"/>
      <c r="B19" s="239"/>
      <c r="C19" s="239"/>
      <c r="D19" s="235" t="s">
        <v>151</v>
      </c>
      <c r="E19" s="239"/>
      <c r="F19" s="239"/>
      <c r="G19" s="238" t="s">
        <v>151</v>
      </c>
      <c r="I19" s="247" t="s">
        <v>167</v>
      </c>
      <c r="J19" s="248">
        <v>20</v>
      </c>
      <c r="K19" s="249">
        <v>15</v>
      </c>
      <c r="L19" s="250">
        <f t="shared" si="2"/>
        <v>0.3333333333333334</v>
      </c>
      <c r="M19" s="251">
        <f>Grig2!B44</f>
        <v>0</v>
      </c>
      <c r="N19" s="252">
        <f>Grig2!C44</f>
        <v>0</v>
      </c>
      <c r="O19" s="266" t="e">
        <f t="shared" si="3"/>
        <v>#DIV/0!</v>
      </c>
    </row>
    <row r="20" spans="1:15" ht="10.5" customHeight="1">
      <c r="A20" s="582"/>
      <c r="B20" s="255"/>
      <c r="C20" s="255"/>
      <c r="D20" s="242"/>
      <c r="E20" s="243"/>
      <c r="F20" s="243"/>
      <c r="G20" s="244"/>
      <c r="I20" s="257" t="s">
        <v>168</v>
      </c>
      <c r="J20" s="258">
        <v>4</v>
      </c>
      <c r="K20" s="259">
        <v>5</v>
      </c>
      <c r="L20" s="260">
        <f t="shared" si="2"/>
        <v>-0.2</v>
      </c>
      <c r="M20" s="261">
        <f>Grig2!B48</f>
        <v>0</v>
      </c>
      <c r="N20" s="262">
        <f>Grig2!C48</f>
        <v>0</v>
      </c>
      <c r="O20" s="266" t="str">
        <f>IF(N20=0,"--",(((M20*100)/N20)-100)/100)</f>
        <v>--</v>
      </c>
    </row>
    <row r="21" spans="1:15" ht="10.5" customHeight="1">
      <c r="A21" s="247" t="s">
        <v>169</v>
      </c>
      <c r="B21" s="248">
        <v>942</v>
      </c>
      <c r="C21" s="249">
        <v>926</v>
      </c>
      <c r="D21" s="288">
        <f aca="true" t="shared" si="4" ref="D21:D27">(((B21*100)/C21)-100)/100</f>
        <v>0.017278617710583147</v>
      </c>
      <c r="E21" s="251">
        <f>Posled1!H34</f>
        <v>444</v>
      </c>
      <c r="F21" s="252">
        <f>Posled1!I34</f>
        <v>533</v>
      </c>
      <c r="G21" s="266">
        <f aca="true" t="shared" si="5" ref="G21:G27">IF(F21=0,"--",(((E21*100)/F21)-100)/100)</f>
        <v>-0.1669793621013133</v>
      </c>
      <c r="I21" s="257" t="s">
        <v>170</v>
      </c>
      <c r="J21" s="258">
        <v>8</v>
      </c>
      <c r="K21" s="259">
        <v>7</v>
      </c>
      <c r="L21" s="260">
        <f t="shared" si="2"/>
        <v>0.1428571428571429</v>
      </c>
      <c r="M21" s="261">
        <f>Grig2!B43</f>
        <v>0</v>
      </c>
      <c r="N21" s="262">
        <f>Grig2!C43</f>
        <v>0</v>
      </c>
      <c r="O21" s="266" t="str">
        <f>IF(N21=0,"--",(((M21*100)/N21)-100)/100)</f>
        <v>--</v>
      </c>
    </row>
    <row r="22" spans="1:15" ht="10.5" customHeight="1">
      <c r="A22" s="289" t="s">
        <v>171</v>
      </c>
      <c r="B22" s="290">
        <v>27</v>
      </c>
      <c r="C22" s="291">
        <v>52</v>
      </c>
      <c r="D22" s="292">
        <f t="shared" si="4"/>
        <v>-0.4807692307692308</v>
      </c>
      <c r="E22" s="293">
        <f>Posled1!B66</f>
        <v>10</v>
      </c>
      <c r="F22" s="294">
        <f>Posled1!C66</f>
        <v>54</v>
      </c>
      <c r="G22" s="266">
        <f t="shared" si="5"/>
        <v>-0.8148148148148148</v>
      </c>
      <c r="I22" s="257" t="s">
        <v>172</v>
      </c>
      <c r="J22" s="258">
        <v>9</v>
      </c>
      <c r="K22" s="259">
        <v>18</v>
      </c>
      <c r="L22" s="260">
        <f t="shared" si="2"/>
        <v>-0.5</v>
      </c>
      <c r="M22" s="261">
        <f>Grig2!B41</f>
        <v>0</v>
      </c>
      <c r="N22" s="262">
        <f>Grig2!C41</f>
        <v>0</v>
      </c>
      <c r="O22" s="266" t="str">
        <f>IF(N22=0,"--",(((M22*100)/N22)-100)/100)</f>
        <v>--</v>
      </c>
    </row>
    <row r="23" spans="1:15" ht="10.5" customHeight="1">
      <c r="A23" s="247" t="s">
        <v>173</v>
      </c>
      <c r="B23" s="248">
        <v>73</v>
      </c>
      <c r="C23" s="249">
        <v>85</v>
      </c>
      <c r="D23" s="295">
        <f t="shared" si="4"/>
        <v>-0.14117647058823535</v>
      </c>
      <c r="E23" s="251">
        <f>Posled1!E66</f>
        <v>291</v>
      </c>
      <c r="F23" s="252">
        <f>Posled1!F66</f>
        <v>25</v>
      </c>
      <c r="G23" s="266">
        <f t="shared" si="5"/>
        <v>10.64</v>
      </c>
      <c r="I23" s="296" t="s">
        <v>174</v>
      </c>
      <c r="J23" s="297">
        <v>0</v>
      </c>
      <c r="K23" s="298">
        <v>3</v>
      </c>
      <c r="L23" s="283">
        <f>IF(K23=0,"--",(((J23*100)/K23)-100)/100)</f>
        <v>-1</v>
      </c>
      <c r="M23" s="299">
        <f>Grig2!B47</f>
        <v>0</v>
      </c>
      <c r="N23" s="300">
        <f>Grig2!C47</f>
        <v>0</v>
      </c>
      <c r="O23" s="286" t="str">
        <f>IF(N23=0,"--",(((M23*100)/N23)-100)/100)</f>
        <v>--</v>
      </c>
    </row>
    <row r="24" spans="1:7" ht="10.5" customHeight="1">
      <c r="A24" s="257" t="s">
        <v>175</v>
      </c>
      <c r="B24" s="258">
        <v>27</v>
      </c>
      <c r="C24" s="259">
        <v>36</v>
      </c>
      <c r="D24" s="250">
        <f t="shared" si="4"/>
        <v>-0.25</v>
      </c>
      <c r="E24" s="261">
        <f>Posled1!K34</f>
        <v>53</v>
      </c>
      <c r="F24" s="262">
        <f>Posled1!L34</f>
        <v>39</v>
      </c>
      <c r="G24" s="266">
        <f t="shared" si="5"/>
        <v>0.3589743589743588</v>
      </c>
    </row>
    <row r="25" spans="1:15" ht="13.5" customHeight="1">
      <c r="A25" s="257" t="s">
        <v>176</v>
      </c>
      <c r="B25" s="258">
        <v>11</v>
      </c>
      <c r="C25" s="259">
        <v>43</v>
      </c>
      <c r="D25" s="260">
        <f t="shared" si="4"/>
        <v>-0.7441860465116279</v>
      </c>
      <c r="E25" s="261">
        <f>Posled2!B34</f>
        <v>13</v>
      </c>
      <c r="F25" s="262">
        <f>Posled2!C34</f>
        <v>39</v>
      </c>
      <c r="G25" s="266">
        <f t="shared" si="5"/>
        <v>-0.6666666666666665</v>
      </c>
      <c r="I25" s="588" t="s">
        <v>177</v>
      </c>
      <c r="J25" s="588"/>
      <c r="K25" s="588"/>
      <c r="L25" s="588"/>
      <c r="M25" s="588"/>
      <c r="N25" s="588"/>
      <c r="O25" s="588"/>
    </row>
    <row r="26" spans="1:15" ht="12.75" customHeight="1">
      <c r="A26" s="289" t="s">
        <v>178</v>
      </c>
      <c r="B26" s="258">
        <v>1678</v>
      </c>
      <c r="C26" s="259">
        <v>1018</v>
      </c>
      <c r="D26" s="260">
        <f t="shared" si="4"/>
        <v>0.6483300589390961</v>
      </c>
      <c r="E26" s="261">
        <f>Posled2!H34</f>
        <v>156</v>
      </c>
      <c r="F26" s="262">
        <f>Posled2!I34</f>
        <v>174</v>
      </c>
      <c r="G26" s="266">
        <f t="shared" si="5"/>
        <v>-0.1034482758620689</v>
      </c>
      <c r="I26" s="589" t="s">
        <v>179</v>
      </c>
      <c r="J26" s="589"/>
      <c r="K26" s="589"/>
      <c r="L26" s="589"/>
      <c r="M26" s="589"/>
      <c r="N26" s="589"/>
      <c r="O26" s="589"/>
    </row>
    <row r="27" spans="1:15" ht="14.25" customHeight="1">
      <c r="A27" s="280" t="s">
        <v>180</v>
      </c>
      <c r="B27" s="258">
        <v>13</v>
      </c>
      <c r="C27" s="259">
        <v>54</v>
      </c>
      <c r="D27" s="301">
        <f t="shared" si="4"/>
        <v>-0.7592592592592592</v>
      </c>
      <c r="E27" s="261">
        <f>Posled2!E34</f>
        <v>0</v>
      </c>
      <c r="F27" s="262">
        <f>Posled2!F34</f>
        <v>0</v>
      </c>
      <c r="G27" s="266" t="str">
        <f t="shared" si="5"/>
        <v>--</v>
      </c>
      <c r="I27" s="302"/>
      <c r="J27" s="230">
        <v>2005</v>
      </c>
      <c r="K27" s="230">
        <v>2004</v>
      </c>
      <c r="L27" s="303" t="s">
        <v>181</v>
      </c>
      <c r="M27" s="231" t="str">
        <f>Комментарии!I19</f>
        <v>2008</v>
      </c>
      <c r="N27" s="230" t="str">
        <f>Комментарии!J19</f>
        <v>2007</v>
      </c>
      <c r="O27" s="304" t="s">
        <v>181</v>
      </c>
    </row>
    <row r="28" spans="1:15" ht="13.5" customHeight="1">
      <c r="A28" s="587" t="s">
        <v>182</v>
      </c>
      <c r="B28" s="587"/>
      <c r="C28" s="587"/>
      <c r="D28" s="587"/>
      <c r="E28" s="587"/>
      <c r="F28" s="587"/>
      <c r="G28" s="587"/>
      <c r="I28" s="305"/>
      <c r="J28" s="306"/>
      <c r="K28" s="306"/>
      <c r="L28" s="306"/>
      <c r="M28" s="236" t="str">
        <f>Комментарии!J18</f>
        <v>1.10.</v>
      </c>
      <c r="N28" s="237" t="str">
        <f>Комментарии!J18</f>
        <v>1.10.</v>
      </c>
      <c r="O28" s="307"/>
    </row>
    <row r="29" spans="1:15" ht="15" customHeight="1">
      <c r="A29" s="581" t="s">
        <v>112</v>
      </c>
      <c r="B29" s="230">
        <v>2005</v>
      </c>
      <c r="C29" s="230">
        <v>2004</v>
      </c>
      <c r="D29" s="231"/>
      <c r="E29" s="230" t="str">
        <f>Комментарии!I19</f>
        <v>2008</v>
      </c>
      <c r="F29" s="230" t="str">
        <f>Комментарии!J19</f>
        <v>2007</v>
      </c>
      <c r="G29" s="232"/>
      <c r="I29" s="308" t="s">
        <v>183</v>
      </c>
      <c r="J29" s="309">
        <v>33</v>
      </c>
      <c r="K29" s="309">
        <v>72</v>
      </c>
      <c r="L29" s="310">
        <f>(((J29*100)/K29)-100)/100</f>
        <v>-0.5416666666666666</v>
      </c>
      <c r="M29" s="311">
        <f>Grig2!B8</f>
        <v>0</v>
      </c>
      <c r="N29" s="311">
        <f>Grig2!C8</f>
        <v>0</v>
      </c>
      <c r="O29" s="312" t="e">
        <f aca="true" t="shared" si="6" ref="O29:O39">(((M29*100)/N29)-100)/100</f>
        <v>#DIV/0!</v>
      </c>
    </row>
    <row r="30" spans="1:15" ht="15.75">
      <c r="A30" s="581"/>
      <c r="B30" s="234"/>
      <c r="C30" s="234"/>
      <c r="D30" s="235" t="s">
        <v>149</v>
      </c>
      <c r="E30" s="236" t="str">
        <f>Комментарии!J18</f>
        <v>1.10.</v>
      </c>
      <c r="F30" s="237" t="str">
        <f>Комментарии!J18</f>
        <v>1.10.</v>
      </c>
      <c r="G30" s="238" t="s">
        <v>149</v>
      </c>
      <c r="I30" s="308" t="s">
        <v>184</v>
      </c>
      <c r="J30" s="309">
        <v>45</v>
      </c>
      <c r="K30" s="309">
        <v>30</v>
      </c>
      <c r="L30" s="313">
        <f aca="true" t="shared" si="7" ref="L30:L39">(((J30*100)/K30)-100)/100</f>
        <v>0.5</v>
      </c>
      <c r="M30" s="311">
        <f>Grig2!B19</f>
        <v>0</v>
      </c>
      <c r="N30" s="311">
        <f>Grig2!C19</f>
        <v>0</v>
      </c>
      <c r="O30" s="314" t="e">
        <f t="shared" si="6"/>
        <v>#DIV/0!</v>
      </c>
    </row>
    <row r="31" spans="1:15" ht="15.75">
      <c r="A31" s="581"/>
      <c r="B31" s="234"/>
      <c r="C31" s="234"/>
      <c r="D31" s="235" t="s">
        <v>151</v>
      </c>
      <c r="E31" s="239"/>
      <c r="F31" s="239"/>
      <c r="G31" s="238" t="s">
        <v>151</v>
      </c>
      <c r="I31" s="308" t="s">
        <v>185</v>
      </c>
      <c r="J31" s="309">
        <v>63</v>
      </c>
      <c r="K31" s="309">
        <v>66</v>
      </c>
      <c r="L31" s="313">
        <f t="shared" si="7"/>
        <v>-0.04545454545454547</v>
      </c>
      <c r="M31" s="311">
        <f>Grig2!B15</f>
        <v>0</v>
      </c>
      <c r="N31" s="311">
        <f>Grig2!C15</f>
        <v>0</v>
      </c>
      <c r="O31" s="314" t="e">
        <f t="shared" si="6"/>
        <v>#DIV/0!</v>
      </c>
    </row>
    <row r="32" spans="1:15" ht="25.5">
      <c r="A32" s="581"/>
      <c r="B32" s="241"/>
      <c r="C32" s="241"/>
      <c r="D32" s="242"/>
      <c r="E32" s="243"/>
      <c r="F32" s="243"/>
      <c r="G32" s="244"/>
      <c r="I32" s="308" t="s">
        <v>186</v>
      </c>
      <c r="J32" s="309">
        <v>18</v>
      </c>
      <c r="K32" s="309">
        <v>25</v>
      </c>
      <c r="L32" s="313">
        <f t="shared" si="7"/>
        <v>-0.28</v>
      </c>
      <c r="M32" s="311">
        <f>Grig2!B23</f>
        <v>0</v>
      </c>
      <c r="N32" s="311">
        <f>Grig2!C23</f>
        <v>0</v>
      </c>
      <c r="O32" s="314" t="e">
        <f t="shared" si="6"/>
        <v>#DIV/0!</v>
      </c>
    </row>
    <row r="33" spans="1:15" ht="15.75">
      <c r="A33" s="247" t="s">
        <v>187</v>
      </c>
      <c r="B33" s="248">
        <v>1246</v>
      </c>
      <c r="C33" s="249">
        <v>449</v>
      </c>
      <c r="D33" s="250">
        <f>(((B33*100)/C33)-100)/100</f>
        <v>1.775055679287305</v>
      </c>
      <c r="E33" s="251">
        <f>Posled2!K34</f>
        <v>357</v>
      </c>
      <c r="F33" s="252">
        <f>Posled2!L34</f>
        <v>393</v>
      </c>
      <c r="G33" s="264">
        <f>(((E33*100)/F33)-100)/100</f>
        <v>-0.09160305343511453</v>
      </c>
      <c r="I33" s="308" t="s">
        <v>188</v>
      </c>
      <c r="J33" s="309">
        <v>5</v>
      </c>
      <c r="K33" s="309">
        <v>7</v>
      </c>
      <c r="L33" s="313">
        <f t="shared" si="7"/>
        <v>-0.2857142857142857</v>
      </c>
      <c r="M33" s="311">
        <f>Grig2!B68</f>
        <v>0</v>
      </c>
      <c r="N33" s="311">
        <f>Grig2!C68</f>
        <v>0</v>
      </c>
      <c r="O33" s="314" t="e">
        <f t="shared" si="6"/>
        <v>#DIV/0!</v>
      </c>
    </row>
    <row r="34" spans="1:15" ht="25.5">
      <c r="A34" s="257" t="s">
        <v>189</v>
      </c>
      <c r="B34" s="258">
        <v>188</v>
      </c>
      <c r="C34" s="259">
        <v>151</v>
      </c>
      <c r="D34" s="288">
        <f>(((B34*100)/C34)-100)/100</f>
        <v>0.24503311258278146</v>
      </c>
      <c r="E34" s="261">
        <f>Posled2!E66</f>
        <v>119</v>
      </c>
      <c r="F34" s="262">
        <f>Posled2!F66</f>
        <v>139</v>
      </c>
      <c r="G34" s="315">
        <f>(((E34*100)/F34)-100)/100</f>
        <v>-0.1438848920863309</v>
      </c>
      <c r="I34" s="308" t="s">
        <v>190</v>
      </c>
      <c r="J34" s="309">
        <v>10</v>
      </c>
      <c r="K34" s="309">
        <v>4</v>
      </c>
      <c r="L34" s="313">
        <f t="shared" si="7"/>
        <v>1.5</v>
      </c>
      <c r="M34" s="311">
        <f>Grig2!B67</f>
        <v>0</v>
      </c>
      <c r="N34" s="311">
        <f>Grig2!C67</f>
        <v>0</v>
      </c>
      <c r="O34" s="316" t="str">
        <f>IF(N34=0,"--",(((M34*100)/N34)-100)/100)</f>
        <v>--</v>
      </c>
    </row>
    <row r="35" spans="1:15" ht="15.75">
      <c r="A35" s="289" t="s">
        <v>171</v>
      </c>
      <c r="B35" s="290">
        <v>424</v>
      </c>
      <c r="C35" s="291">
        <v>335</v>
      </c>
      <c r="D35" s="292">
        <f>(((B35*100)/C35)-100)/100</f>
        <v>0.2656716417910448</v>
      </c>
      <c r="E35" s="293">
        <f>Posled2!H66</f>
        <v>27</v>
      </c>
      <c r="F35" s="294">
        <f>Posled2!I66</f>
        <v>112</v>
      </c>
      <c r="G35" s="287">
        <f>(((E35*100)/F35)-100)/100</f>
        <v>-0.7589285714285714</v>
      </c>
      <c r="I35" s="308" t="s">
        <v>191</v>
      </c>
      <c r="J35" s="309">
        <v>7</v>
      </c>
      <c r="K35" s="309">
        <v>7</v>
      </c>
      <c r="L35" s="313">
        <f t="shared" si="7"/>
        <v>0</v>
      </c>
      <c r="M35" s="311">
        <f>Grig2!B65</f>
        <v>0</v>
      </c>
      <c r="N35" s="311">
        <f>Grig2!C65</f>
        <v>0</v>
      </c>
      <c r="O35" s="312" t="e">
        <f t="shared" si="6"/>
        <v>#DIV/0!</v>
      </c>
    </row>
    <row r="36" spans="1:15" ht="25.5">
      <c r="A36" s="247" t="s">
        <v>173</v>
      </c>
      <c r="B36" s="248">
        <v>1013</v>
      </c>
      <c r="C36" s="249">
        <v>966</v>
      </c>
      <c r="D36" s="250">
        <f>(((B36*100)/C36)-100)/100</f>
        <v>0.04865424430641824</v>
      </c>
      <c r="E36" s="251">
        <f>Posled2!K66</f>
        <v>1514</v>
      </c>
      <c r="F36" s="252">
        <f>Posled2!L66</f>
        <v>82</v>
      </c>
      <c r="G36" s="279">
        <f>(((E36*100)/F36)-100)/100</f>
        <v>17.46341463414634</v>
      </c>
      <c r="I36" s="308" t="s">
        <v>192</v>
      </c>
      <c r="J36" s="309">
        <v>29</v>
      </c>
      <c r="K36" s="309">
        <v>30</v>
      </c>
      <c r="L36" s="313">
        <f t="shared" si="7"/>
        <v>-0.033333333333333284</v>
      </c>
      <c r="M36" s="311">
        <f>Grig2!B53</f>
        <v>0</v>
      </c>
      <c r="N36" s="311">
        <f>Grig2!C53</f>
        <v>0</v>
      </c>
      <c r="O36" s="314" t="e">
        <f t="shared" si="6"/>
        <v>#DIV/0!</v>
      </c>
    </row>
    <row r="37" spans="1:15" ht="15.75">
      <c r="A37" s="280" t="s">
        <v>193</v>
      </c>
      <c r="B37" s="281">
        <v>301.98</v>
      </c>
      <c r="C37" s="282">
        <v>218.14</v>
      </c>
      <c r="D37" s="283">
        <f>(((B37*100)/C37)-100)/100</f>
        <v>0.384340331896947</v>
      </c>
      <c r="E37" s="284">
        <f>Posled2!B66/1000000</f>
        <v>585.684</v>
      </c>
      <c r="F37" s="285">
        <f>Posled2!C66/1000000</f>
        <v>525.7353</v>
      </c>
      <c r="G37" s="286">
        <f>(((E37*100)/F37)-100)/100</f>
        <v>0.11402829522765515</v>
      </c>
      <c r="I37" s="308" t="s">
        <v>194</v>
      </c>
      <c r="J37" s="309">
        <v>624</v>
      </c>
      <c r="K37" s="309">
        <v>717</v>
      </c>
      <c r="L37" s="313">
        <f t="shared" si="7"/>
        <v>-0.12970711297071133</v>
      </c>
      <c r="M37" s="311">
        <f>Grig2!B28</f>
        <v>0</v>
      </c>
      <c r="N37" s="311">
        <f>Grig2!C28</f>
        <v>0</v>
      </c>
      <c r="O37" s="314" t="e">
        <f t="shared" si="6"/>
        <v>#DIV/0!</v>
      </c>
    </row>
    <row r="38" spans="1:15" ht="20.25">
      <c r="A38" s="317"/>
      <c r="I38" s="308" t="s">
        <v>195</v>
      </c>
      <c r="J38" s="309">
        <v>5</v>
      </c>
      <c r="K38" s="309">
        <v>6</v>
      </c>
      <c r="L38" s="313">
        <f t="shared" si="7"/>
        <v>-0.1666666666666667</v>
      </c>
      <c r="M38" s="311">
        <f>Grig2!B52</f>
        <v>0</v>
      </c>
      <c r="N38" s="311">
        <f>Grig2!C52</f>
        <v>0</v>
      </c>
      <c r="O38" s="316" t="str">
        <f>IF(N38=0,"--",(((M38*100)/N38)-100)/100)</f>
        <v>--</v>
      </c>
    </row>
    <row r="39" spans="9:15" ht="15.75">
      <c r="I39" s="318" t="s">
        <v>196</v>
      </c>
      <c r="J39" s="319">
        <v>120</v>
      </c>
      <c r="K39" s="319">
        <v>118</v>
      </c>
      <c r="L39" s="320">
        <f t="shared" si="7"/>
        <v>0.01694915254237287</v>
      </c>
      <c r="M39" s="321">
        <f>Grig2!B55</f>
        <v>0</v>
      </c>
      <c r="N39" s="321">
        <f>Grig2!C55</f>
        <v>0</v>
      </c>
      <c r="O39" s="322" t="e">
        <f t="shared" si="6"/>
        <v>#DIV/0!</v>
      </c>
    </row>
  </sheetData>
  <sheetProtection selectLockedCells="1" selectUnlockedCells="1"/>
  <mergeCells count="31">
    <mergeCell ref="I25:O25"/>
    <mergeCell ref="I26:O26"/>
    <mergeCell ref="A28:G28"/>
    <mergeCell ref="A29:A32"/>
    <mergeCell ref="O14:O15"/>
    <mergeCell ref="A16:G16"/>
    <mergeCell ref="A17:A20"/>
    <mergeCell ref="I17:I18"/>
    <mergeCell ref="L17:L18"/>
    <mergeCell ref="M17:M18"/>
    <mergeCell ref="N17:N18"/>
    <mergeCell ref="I14:I15"/>
    <mergeCell ref="L14:L15"/>
    <mergeCell ref="M14:M15"/>
    <mergeCell ref="N14:N15"/>
    <mergeCell ref="M9:M10"/>
    <mergeCell ref="N9:N10"/>
    <mergeCell ref="O9:O10"/>
    <mergeCell ref="I11:I12"/>
    <mergeCell ref="L11:L12"/>
    <mergeCell ref="M11:M12"/>
    <mergeCell ref="N11:N12"/>
    <mergeCell ref="O11:O12"/>
    <mergeCell ref="A3:A6"/>
    <mergeCell ref="I3:I7"/>
    <mergeCell ref="I9:I10"/>
    <mergeCell ref="L9:L10"/>
    <mergeCell ref="A1:G1"/>
    <mergeCell ref="I1:O1"/>
    <mergeCell ref="A2:G2"/>
    <mergeCell ref="I2:O2"/>
  </mergeCells>
  <printOptions/>
  <pageMargins left="0.25" right="0.2902777777777778" top="0.25" bottom="0.2298611111111111" header="0.5118055555555555" footer="0.511805555555555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workbookViewId="0" topLeftCell="A16">
      <selection activeCell="C28" sqref="C28"/>
    </sheetView>
  </sheetViews>
  <sheetFormatPr defaultColWidth="9.140625" defaultRowHeight="12.75"/>
  <cols>
    <col min="1" max="1" width="24.28125" style="323" customWidth="1"/>
    <col min="2" max="2" width="12.421875" style="323" customWidth="1"/>
    <col min="3" max="3" width="20.57421875" style="324" customWidth="1"/>
    <col min="4" max="4" width="9.140625" style="325" customWidth="1"/>
    <col min="5" max="5" width="8.7109375" style="324" customWidth="1"/>
    <col min="6" max="6" width="17.00390625" style="324" customWidth="1"/>
    <col min="7" max="7" width="8.7109375" style="324" customWidth="1"/>
    <col min="8" max="8" width="14.7109375" style="324" customWidth="1"/>
    <col min="9" max="16384" width="8.7109375" style="324" customWidth="1"/>
  </cols>
  <sheetData>
    <row r="1" spans="1:9" ht="12.75">
      <c r="A1" s="326" t="s">
        <v>14</v>
      </c>
      <c r="B1" s="326">
        <v>25100</v>
      </c>
      <c r="C1" s="327"/>
      <c r="D1" s="328">
        <v>2010</v>
      </c>
      <c r="E1" s="324">
        <v>2009</v>
      </c>
      <c r="F1" s="324" t="s">
        <v>197</v>
      </c>
      <c r="I1" s="324">
        <v>2010</v>
      </c>
    </row>
    <row r="2" spans="1:10" ht="15">
      <c r="A2" s="327" t="s">
        <v>15</v>
      </c>
      <c r="B2" s="326">
        <v>41600</v>
      </c>
      <c r="C2" s="327"/>
      <c r="D2" s="328">
        <v>20</v>
      </c>
      <c r="E2" s="324">
        <v>21</v>
      </c>
      <c r="F2" s="324">
        <f>D2/B2*10000</f>
        <v>4.807692307692308</v>
      </c>
      <c r="G2" s="324">
        <f>E2/B2*10000</f>
        <v>5.048076923076923</v>
      </c>
      <c r="H2" s="329" t="str">
        <f aca="true" t="shared" si="0" ref="H2:H34">IF(G2&lt;&gt;0,TEXT(((F2-G2)/G2)*100,"0,0"),"--")</f>
        <v>-4,8</v>
      </c>
      <c r="I2" s="324">
        <v>0</v>
      </c>
      <c r="J2" s="324">
        <f>I2/B2*10000</f>
        <v>0</v>
      </c>
    </row>
    <row r="3" spans="1:10" ht="15">
      <c r="A3" s="326" t="s">
        <v>17</v>
      </c>
      <c r="B3" s="326">
        <v>22600</v>
      </c>
      <c r="C3" s="327"/>
      <c r="D3" s="328"/>
      <c r="G3" s="324">
        <f aca="true" t="shared" si="1" ref="G3:G34">E3/B3*10000</f>
        <v>0</v>
      </c>
      <c r="H3" s="329" t="str">
        <f t="shared" si="0"/>
        <v>--</v>
      </c>
      <c r="J3" s="324">
        <f aca="true" t="shared" si="2" ref="J3:J34">I3/B3*10000</f>
        <v>0</v>
      </c>
    </row>
    <row r="4" spans="1:10" ht="15">
      <c r="A4" s="326" t="s">
        <v>19</v>
      </c>
      <c r="B4" s="326">
        <v>40900</v>
      </c>
      <c r="C4" s="327"/>
      <c r="D4" s="328"/>
      <c r="G4" s="324">
        <f t="shared" si="1"/>
        <v>0</v>
      </c>
      <c r="H4" s="329" t="str">
        <f t="shared" si="0"/>
        <v>--</v>
      </c>
      <c r="J4" s="324">
        <f t="shared" si="2"/>
        <v>0</v>
      </c>
    </row>
    <row r="5" spans="1:10" ht="15">
      <c r="A5" s="326" t="s">
        <v>21</v>
      </c>
      <c r="B5" s="326">
        <v>44300</v>
      </c>
      <c r="C5" s="327"/>
      <c r="D5" s="328"/>
      <c r="G5" s="324">
        <f t="shared" si="1"/>
        <v>0</v>
      </c>
      <c r="H5" s="329" t="str">
        <f t="shared" si="0"/>
        <v>--</v>
      </c>
      <c r="J5" s="324">
        <f t="shared" si="2"/>
        <v>0</v>
      </c>
    </row>
    <row r="6" spans="1:10" ht="15">
      <c r="A6" s="326" t="s">
        <v>23</v>
      </c>
      <c r="B6" s="326">
        <v>28700</v>
      </c>
      <c r="C6" s="327"/>
      <c r="D6" s="328"/>
      <c r="G6" s="324">
        <f t="shared" si="1"/>
        <v>0</v>
      </c>
      <c r="H6" s="329" t="str">
        <f t="shared" si="0"/>
        <v>--</v>
      </c>
      <c r="J6" s="324">
        <f t="shared" si="2"/>
        <v>0</v>
      </c>
    </row>
    <row r="7" spans="1:10" ht="15">
      <c r="A7" s="326" t="s">
        <v>26</v>
      </c>
      <c r="B7" s="326">
        <v>50100</v>
      </c>
      <c r="C7" s="327"/>
      <c r="D7" s="328"/>
      <c r="G7" s="324">
        <f t="shared" si="1"/>
        <v>0</v>
      </c>
      <c r="H7" s="329" t="str">
        <f t="shared" si="0"/>
        <v>--</v>
      </c>
      <c r="J7" s="324">
        <f t="shared" si="2"/>
        <v>0</v>
      </c>
    </row>
    <row r="8" spans="1:10" ht="15">
      <c r="A8" s="327" t="s">
        <v>27</v>
      </c>
      <c r="B8" s="326">
        <v>47100</v>
      </c>
      <c r="C8" s="327"/>
      <c r="D8" s="328">
        <v>28</v>
      </c>
      <c r="E8" s="324">
        <v>31</v>
      </c>
      <c r="F8" s="324">
        <f>D8/B8*10000</f>
        <v>5.944798301486199</v>
      </c>
      <c r="G8" s="324">
        <f t="shared" si="1"/>
        <v>6.581740976645436</v>
      </c>
      <c r="H8" s="329" t="str">
        <f t="shared" si="0"/>
        <v>-9,7</v>
      </c>
      <c r="I8" s="324">
        <v>3</v>
      </c>
      <c r="J8" s="324">
        <f t="shared" si="2"/>
        <v>0.6369426751592356</v>
      </c>
    </row>
    <row r="9" spans="1:10" ht="15">
      <c r="A9" s="326" t="s">
        <v>28</v>
      </c>
      <c r="B9" s="326">
        <v>27300</v>
      </c>
      <c r="C9" s="327"/>
      <c r="D9" s="328"/>
      <c r="G9" s="324">
        <f t="shared" si="1"/>
        <v>0</v>
      </c>
      <c r="H9" s="329" t="str">
        <f t="shared" si="0"/>
        <v>--</v>
      </c>
      <c r="J9" s="324">
        <f t="shared" si="2"/>
        <v>0</v>
      </c>
    </row>
    <row r="10" spans="1:10" ht="15">
      <c r="A10" s="326" t="s">
        <v>30</v>
      </c>
      <c r="B10" s="326">
        <v>27800</v>
      </c>
      <c r="C10" s="327"/>
      <c r="D10" s="328"/>
      <c r="G10" s="324">
        <f t="shared" si="1"/>
        <v>0</v>
      </c>
      <c r="H10" s="329" t="str">
        <f t="shared" si="0"/>
        <v>--</v>
      </c>
      <c r="J10" s="324">
        <f t="shared" si="2"/>
        <v>0</v>
      </c>
    </row>
    <row r="11" spans="1:10" ht="15">
      <c r="A11" s="326" t="s">
        <v>32</v>
      </c>
      <c r="B11" s="326">
        <v>18800</v>
      </c>
      <c r="C11" s="327"/>
      <c r="D11" s="328"/>
      <c r="G11" s="324">
        <f t="shared" si="1"/>
        <v>0</v>
      </c>
      <c r="H11" s="329" t="str">
        <f t="shared" si="0"/>
        <v>--</v>
      </c>
      <c r="J11" s="324">
        <f t="shared" si="2"/>
        <v>0</v>
      </c>
    </row>
    <row r="12" spans="1:10" ht="15">
      <c r="A12" s="326" t="s">
        <v>34</v>
      </c>
      <c r="B12" s="326">
        <v>23300</v>
      </c>
      <c r="C12" s="327"/>
      <c r="D12" s="328"/>
      <c r="G12" s="324">
        <f t="shared" si="1"/>
        <v>0</v>
      </c>
      <c r="H12" s="329" t="str">
        <f t="shared" si="0"/>
        <v>--</v>
      </c>
      <c r="J12" s="324">
        <f t="shared" si="2"/>
        <v>0</v>
      </c>
    </row>
    <row r="13" spans="1:10" ht="15">
      <c r="A13" s="326" t="s">
        <v>36</v>
      </c>
      <c r="B13" s="326">
        <v>28200</v>
      </c>
      <c r="C13" s="327"/>
      <c r="D13" s="328"/>
      <c r="G13" s="324">
        <f t="shared" si="1"/>
        <v>0</v>
      </c>
      <c r="H13" s="329" t="str">
        <f t="shared" si="0"/>
        <v>--</v>
      </c>
      <c r="J13" s="324">
        <f t="shared" si="2"/>
        <v>0</v>
      </c>
    </row>
    <row r="14" spans="1:10" ht="15">
      <c r="A14" s="326" t="s">
        <v>38</v>
      </c>
      <c r="B14" s="326">
        <v>37700</v>
      </c>
      <c r="C14" s="327"/>
      <c r="D14" s="328"/>
      <c r="G14" s="324">
        <f t="shared" si="1"/>
        <v>0</v>
      </c>
      <c r="H14" s="329" t="str">
        <f t="shared" si="0"/>
        <v>--</v>
      </c>
      <c r="J14" s="324">
        <f t="shared" si="2"/>
        <v>0</v>
      </c>
    </row>
    <row r="15" spans="1:10" ht="15">
      <c r="A15" s="326" t="s">
        <v>41</v>
      </c>
      <c r="B15" s="326">
        <v>127700</v>
      </c>
      <c r="C15" s="327"/>
      <c r="D15" s="328">
        <f>Grig1!B37</f>
        <v>41</v>
      </c>
      <c r="E15" s="324">
        <f>Grig1!C37</f>
        <v>49</v>
      </c>
      <c r="F15" s="324">
        <f>D15/B15*10000</f>
        <v>3.210649960845732</v>
      </c>
      <c r="G15" s="324">
        <f t="shared" si="1"/>
        <v>3.837118245888802</v>
      </c>
      <c r="H15" s="329" t="str">
        <f t="shared" si="0"/>
        <v>-16,3</v>
      </c>
      <c r="I15" s="324">
        <f>Grig1!H37</f>
        <v>0</v>
      </c>
      <c r="J15" s="324">
        <f t="shared" si="2"/>
        <v>0</v>
      </c>
    </row>
    <row r="16" spans="1:10" ht="15">
      <c r="A16" s="326" t="s">
        <v>42</v>
      </c>
      <c r="B16" s="326">
        <v>19100</v>
      </c>
      <c r="C16" s="327"/>
      <c r="D16" s="328"/>
      <c r="G16" s="324">
        <f t="shared" si="1"/>
        <v>0</v>
      </c>
      <c r="H16" s="329" t="str">
        <f t="shared" si="0"/>
        <v>--</v>
      </c>
      <c r="J16" s="324">
        <f t="shared" si="2"/>
        <v>0</v>
      </c>
    </row>
    <row r="17" spans="1:10" ht="15">
      <c r="A17" s="326" t="s">
        <v>44</v>
      </c>
      <c r="B17" s="326">
        <v>29100</v>
      </c>
      <c r="C17" s="327"/>
      <c r="D17" s="328"/>
      <c r="G17" s="324">
        <f t="shared" si="1"/>
        <v>0</v>
      </c>
      <c r="H17" s="329" t="str">
        <f t="shared" si="0"/>
        <v>--</v>
      </c>
      <c r="J17" s="324">
        <f t="shared" si="2"/>
        <v>0</v>
      </c>
    </row>
    <row r="18" spans="1:10" s="641" customFormat="1" ht="15">
      <c r="A18" s="638" t="s">
        <v>46</v>
      </c>
      <c r="B18" s="638">
        <v>37200</v>
      </c>
      <c r="C18" s="639"/>
      <c r="D18" s="640"/>
      <c r="G18" s="641">
        <f t="shared" si="1"/>
        <v>0</v>
      </c>
      <c r="H18" s="642" t="str">
        <f t="shared" si="0"/>
        <v>--</v>
      </c>
      <c r="J18" s="641">
        <f t="shared" si="2"/>
        <v>0</v>
      </c>
    </row>
    <row r="19" spans="1:10" ht="15">
      <c r="A19" s="326" t="s">
        <v>48</v>
      </c>
      <c r="B19" s="326">
        <v>57900</v>
      </c>
      <c r="C19" s="327"/>
      <c r="D19" s="328"/>
      <c r="G19" s="324">
        <f t="shared" si="1"/>
        <v>0</v>
      </c>
      <c r="H19" s="329" t="str">
        <f t="shared" si="0"/>
        <v>--</v>
      </c>
      <c r="J19" s="324">
        <f t="shared" si="2"/>
        <v>0</v>
      </c>
    </row>
    <row r="20" spans="1:10" ht="15">
      <c r="A20" s="326" t="s">
        <v>50</v>
      </c>
      <c r="B20" s="326">
        <v>17300</v>
      </c>
      <c r="C20" s="327"/>
      <c r="D20" s="328"/>
      <c r="G20" s="324">
        <f t="shared" si="1"/>
        <v>0</v>
      </c>
      <c r="H20" s="329" t="str">
        <f t="shared" si="0"/>
        <v>--</v>
      </c>
      <c r="J20" s="324">
        <f t="shared" si="2"/>
        <v>0</v>
      </c>
    </row>
    <row r="21" spans="1:10" ht="15">
      <c r="A21" s="327" t="s">
        <v>53</v>
      </c>
      <c r="B21" s="326">
        <v>33400</v>
      </c>
      <c r="C21" s="327"/>
      <c r="D21" s="328">
        <v>15</v>
      </c>
      <c r="E21" s="324">
        <v>23</v>
      </c>
      <c r="F21" s="324">
        <f>D21/B21*10000</f>
        <v>4.491017964071856</v>
      </c>
      <c r="G21" s="324">
        <f t="shared" si="1"/>
        <v>6.88622754491018</v>
      </c>
      <c r="H21" s="329" t="str">
        <f t="shared" si="0"/>
        <v>-34,8</v>
      </c>
      <c r="I21" s="324">
        <v>1</v>
      </c>
      <c r="J21" s="324">
        <f t="shared" si="2"/>
        <v>0.2994011976047904</v>
      </c>
    </row>
    <row r="22" spans="1:10" ht="15">
      <c r="A22" s="326" t="s">
        <v>52</v>
      </c>
      <c r="B22" s="326">
        <v>21300</v>
      </c>
      <c r="C22" s="327"/>
      <c r="D22" s="328"/>
      <c r="G22" s="324">
        <f t="shared" si="1"/>
        <v>0</v>
      </c>
      <c r="H22" s="329" t="str">
        <f t="shared" si="0"/>
        <v>--</v>
      </c>
      <c r="J22" s="324">
        <f t="shared" si="2"/>
        <v>0</v>
      </c>
    </row>
    <row r="23" spans="1:10" ht="15">
      <c r="A23" s="326" t="s">
        <v>54</v>
      </c>
      <c r="B23" s="326">
        <v>36300</v>
      </c>
      <c r="C23" s="327"/>
      <c r="D23" s="328"/>
      <c r="G23" s="324">
        <f t="shared" si="1"/>
        <v>0</v>
      </c>
      <c r="H23" s="329" t="str">
        <f t="shared" si="0"/>
        <v>--</v>
      </c>
      <c r="J23" s="324">
        <f t="shared" si="2"/>
        <v>0</v>
      </c>
    </row>
    <row r="24" spans="1:10" ht="15">
      <c r="A24" s="326" t="s">
        <v>56</v>
      </c>
      <c r="B24" s="326">
        <v>26400</v>
      </c>
      <c r="C24" s="327"/>
      <c r="D24" s="328"/>
      <c r="G24" s="324">
        <f t="shared" si="1"/>
        <v>0</v>
      </c>
      <c r="H24" s="329" t="str">
        <f t="shared" si="0"/>
        <v>--</v>
      </c>
      <c r="J24" s="324">
        <f t="shared" si="2"/>
        <v>0</v>
      </c>
    </row>
    <row r="25" spans="1:10" ht="15">
      <c r="A25" s="326" t="s">
        <v>58</v>
      </c>
      <c r="B25" s="326">
        <v>19400</v>
      </c>
      <c r="C25" s="327"/>
      <c r="D25" s="328"/>
      <c r="G25" s="324">
        <f t="shared" si="1"/>
        <v>0</v>
      </c>
      <c r="H25" s="329" t="str">
        <f t="shared" si="0"/>
        <v>--</v>
      </c>
      <c r="J25" s="324">
        <f t="shared" si="2"/>
        <v>0</v>
      </c>
    </row>
    <row r="26" spans="1:10" ht="15">
      <c r="A26" s="326" t="s">
        <v>11</v>
      </c>
      <c r="B26" s="326">
        <v>129000</v>
      </c>
      <c r="C26" s="327"/>
      <c r="D26" s="328"/>
      <c r="G26" s="324">
        <f t="shared" si="1"/>
        <v>0</v>
      </c>
      <c r="H26" s="329" t="str">
        <f t="shared" si="0"/>
        <v>--</v>
      </c>
      <c r="J26" s="324">
        <f t="shared" si="2"/>
        <v>0</v>
      </c>
    </row>
    <row r="27" spans="1:10" ht="15">
      <c r="A27" s="326" t="s">
        <v>13</v>
      </c>
      <c r="B27" s="326">
        <v>161100</v>
      </c>
      <c r="C27" s="330"/>
      <c r="D27" s="331"/>
      <c r="G27" s="324">
        <f t="shared" si="1"/>
        <v>0</v>
      </c>
      <c r="H27" s="329" t="str">
        <f t="shared" si="0"/>
        <v>--</v>
      </c>
      <c r="J27" s="324">
        <f t="shared" si="2"/>
        <v>0</v>
      </c>
    </row>
    <row r="28" spans="1:10" ht="15">
      <c r="A28" s="326" t="s">
        <v>12</v>
      </c>
      <c r="B28" s="326">
        <v>161500</v>
      </c>
      <c r="C28" s="332"/>
      <c r="G28" s="324">
        <f t="shared" si="1"/>
        <v>0</v>
      </c>
      <c r="H28" s="329" t="str">
        <f t="shared" si="0"/>
        <v>--</v>
      </c>
      <c r="J28" s="324">
        <f t="shared" si="2"/>
        <v>0</v>
      </c>
    </row>
    <row r="29" spans="1:10" ht="15">
      <c r="A29" s="326" t="s">
        <v>62</v>
      </c>
      <c r="B29" s="326">
        <v>1360900</v>
      </c>
      <c r="C29" s="332"/>
      <c r="G29" s="324">
        <f t="shared" si="1"/>
        <v>0</v>
      </c>
      <c r="H29" s="329" t="str">
        <f t="shared" si="0"/>
        <v>--</v>
      </c>
      <c r="J29" s="324">
        <f t="shared" si="2"/>
        <v>0</v>
      </c>
    </row>
    <row r="30" spans="1:10" ht="15">
      <c r="A30" s="323" t="s">
        <v>198</v>
      </c>
      <c r="B30" s="323">
        <v>11300</v>
      </c>
      <c r="D30" s="325">
        <v>10</v>
      </c>
      <c r="E30" s="324">
        <v>16</v>
      </c>
      <c r="F30" s="324">
        <f>D30/B30*10000</f>
        <v>8.849557522123893</v>
      </c>
      <c r="G30" s="324">
        <f t="shared" si="1"/>
        <v>14.15929203539823</v>
      </c>
      <c r="H30" s="329" t="str">
        <f t="shared" si="0"/>
        <v>-37,5</v>
      </c>
      <c r="I30" s="324">
        <v>0</v>
      </c>
      <c r="J30" s="324">
        <f t="shared" si="2"/>
        <v>0</v>
      </c>
    </row>
    <row r="31" spans="1:10" ht="15">
      <c r="A31" s="323" t="s">
        <v>199</v>
      </c>
      <c r="B31" s="323">
        <v>10200</v>
      </c>
      <c r="D31" s="325">
        <v>8</v>
      </c>
      <c r="E31" s="324">
        <v>8</v>
      </c>
      <c r="F31" s="324">
        <f>D31/B31*10000</f>
        <v>7.8431372549019605</v>
      </c>
      <c r="G31" s="324">
        <f t="shared" si="1"/>
        <v>7.8431372549019605</v>
      </c>
      <c r="H31" s="329" t="str">
        <f t="shared" si="0"/>
        <v>0,0</v>
      </c>
      <c r="I31" s="324">
        <v>0</v>
      </c>
      <c r="J31" s="324">
        <f t="shared" si="2"/>
        <v>0</v>
      </c>
    </row>
    <row r="32" spans="1:10" s="641" customFormat="1" ht="15">
      <c r="A32" s="643" t="s">
        <v>200</v>
      </c>
      <c r="B32" s="643">
        <v>13200</v>
      </c>
      <c r="D32" s="644">
        <v>4</v>
      </c>
      <c r="E32" s="641">
        <v>3</v>
      </c>
      <c r="F32" s="641">
        <f>D32/B32*10000</f>
        <v>3.0303030303030303</v>
      </c>
      <c r="G32" s="641">
        <f t="shared" si="1"/>
        <v>2.272727272727273</v>
      </c>
      <c r="H32" s="642" t="str">
        <f t="shared" si="0"/>
        <v>33,3</v>
      </c>
      <c r="I32" s="641">
        <v>0</v>
      </c>
      <c r="J32" s="641">
        <f t="shared" si="2"/>
        <v>0</v>
      </c>
    </row>
    <row r="33" spans="1:10" ht="15">
      <c r="A33" s="323" t="s">
        <v>201</v>
      </c>
      <c r="B33" s="323">
        <v>9700</v>
      </c>
      <c r="D33" s="325">
        <v>6</v>
      </c>
      <c r="E33" s="324">
        <v>9</v>
      </c>
      <c r="F33" s="324">
        <f>D33/B33*10000</f>
        <v>6.185567010309278</v>
      </c>
      <c r="G33" s="324">
        <f t="shared" si="1"/>
        <v>9.278350515463917</v>
      </c>
      <c r="H33" s="329" t="str">
        <f t="shared" si="0"/>
        <v>-33,3</v>
      </c>
      <c r="I33" s="324">
        <v>0</v>
      </c>
      <c r="J33" s="324">
        <f t="shared" si="2"/>
        <v>0</v>
      </c>
    </row>
    <row r="34" spans="1:10" ht="15">
      <c r="A34" s="323" t="s">
        <v>202</v>
      </c>
      <c r="B34" s="323">
        <v>459500</v>
      </c>
      <c r="D34" s="325">
        <f>Grig1!B6</f>
        <v>228</v>
      </c>
      <c r="E34" s="324">
        <f>Grig1!C6</f>
        <v>234</v>
      </c>
      <c r="F34" s="324">
        <f>D34/B34*10000</f>
        <v>4.961915125136017</v>
      </c>
      <c r="G34" s="324">
        <f t="shared" si="1"/>
        <v>5.092491838955386</v>
      </c>
      <c r="H34" s="26" t="str">
        <f t="shared" si="0"/>
        <v>-2,6</v>
      </c>
      <c r="I34" s="324">
        <f>Grig1!H6</f>
        <v>21</v>
      </c>
      <c r="J34" s="324">
        <f t="shared" si="2"/>
        <v>0.45701849836779107</v>
      </c>
    </row>
    <row r="35" spans="8:10" ht="15.75">
      <c r="H35" s="333"/>
      <c r="J35" s="33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info4</cp:lastModifiedBy>
  <dcterms:modified xsi:type="dcterms:W3CDTF">2012-12-20T09:15:42Z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